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11325" windowHeight="12540" firstSheet="3" activeTab="8"/>
  </bookViews>
  <sheets>
    <sheet name="skupna rekapitulacija" sheetId="1" r:id="rId1"/>
    <sheet name="rekapitulacija zunanja ureditev" sheetId="4" r:id="rId2"/>
    <sheet name="01-zunanja ureditev" sheetId="2" r:id="rId3"/>
    <sheet name="rekapitulacija maščobnik" sheetId="7" r:id="rId4"/>
    <sheet name="02-maščobnik gradbena dela" sheetId="5" r:id="rId5"/>
    <sheet name="rekapitulacija blok2 GD" sheetId="10" r:id="rId6"/>
    <sheet name="03-blok2 gradbena dela" sheetId="6" r:id="rId7"/>
    <sheet name="elektroinstalacije" sheetId="15" r:id="rId8"/>
    <sheet name="strojna oprema " sheetId="16" r:id="rId9"/>
  </sheets>
  <definedNames>
    <definedName name="_xlnm.Print_Titles" localSheetId="2">'01-zunanja ureditev'!$4:$5</definedName>
    <definedName name="_xlnm.Print_Titles" localSheetId="4">'02-maščobnik gradbena dela'!$4:$6</definedName>
    <definedName name="_xlnm.Print_Titles" localSheetId="6">'03-blok2 gradbena dela'!$7:$7</definedName>
  </definedNames>
  <calcPr calcId="152511"/>
</workbook>
</file>

<file path=xl/calcChain.xml><?xml version="1.0" encoding="utf-8"?>
<calcChain xmlns="http://schemas.openxmlformats.org/spreadsheetml/2006/main">
  <c r="F80" i="6" l="1"/>
  <c r="E76" i="16" l="1"/>
  <c r="E75" i="16"/>
  <c r="E74" i="16"/>
  <c r="E69" i="16"/>
  <c r="E70" i="16" s="1"/>
  <c r="E63" i="16"/>
  <c r="E62" i="16"/>
  <c r="E61" i="16"/>
  <c r="E60" i="16"/>
  <c r="E59" i="16"/>
  <c r="E51" i="16"/>
  <c r="E50" i="16"/>
  <c r="E49" i="16"/>
  <c r="E48" i="16"/>
  <c r="E47" i="16"/>
  <c r="E46" i="16"/>
  <c r="E45" i="16"/>
  <c r="E44" i="16"/>
  <c r="E43" i="16"/>
  <c r="E42" i="16"/>
  <c r="E41" i="16"/>
  <c r="E35" i="16"/>
  <c r="E34" i="16"/>
  <c r="E33" i="16"/>
  <c r="E32" i="16"/>
  <c r="E31" i="16"/>
  <c r="E30" i="16"/>
  <c r="E29" i="16"/>
  <c r="E28" i="16"/>
  <c r="E36" i="16" s="1"/>
  <c r="E22" i="16"/>
  <c r="E21" i="16"/>
  <c r="E20" i="16"/>
  <c r="E19" i="16"/>
  <c r="E18" i="16"/>
  <c r="E17" i="16"/>
  <c r="E16" i="16"/>
  <c r="E15" i="16"/>
  <c r="E14" i="16"/>
  <c r="E13" i="16"/>
  <c r="E64" i="16" l="1"/>
  <c r="E65" i="16" s="1"/>
  <c r="E23" i="16"/>
  <c r="E24" i="16" s="1"/>
  <c r="E37" i="16"/>
  <c r="E77" i="16"/>
  <c r="E52" i="16"/>
  <c r="E53" i="16" s="1"/>
  <c r="E79" i="16" l="1"/>
  <c r="C21" i="1" s="1"/>
  <c r="C31" i="1" s="1"/>
  <c r="E114" i="15" l="1"/>
  <c r="F114" i="15" s="1"/>
  <c r="E113" i="15"/>
  <c r="F113" i="15" s="1"/>
  <c r="E112" i="15"/>
  <c r="F112" i="15" s="1"/>
  <c r="E111" i="15"/>
  <c r="F111" i="15" s="1"/>
  <c r="E110" i="15"/>
  <c r="E109" i="15"/>
  <c r="F109" i="15" s="1"/>
  <c r="F108" i="15"/>
  <c r="F107" i="15"/>
  <c r="F106" i="15"/>
  <c r="F104" i="15"/>
  <c r="F103" i="15"/>
  <c r="F102" i="15"/>
  <c r="F98" i="15"/>
  <c r="F97" i="15"/>
  <c r="F96" i="15"/>
  <c r="F95" i="15"/>
  <c r="F94" i="15"/>
  <c r="F93" i="15"/>
  <c r="F92" i="15"/>
  <c r="F86" i="15"/>
  <c r="F85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0" i="15"/>
  <c r="F59" i="15"/>
  <c r="F58" i="15"/>
  <c r="F57" i="15"/>
  <c r="F56" i="15"/>
  <c r="F55" i="15"/>
  <c r="F54" i="15"/>
  <c r="F53" i="15"/>
  <c r="F52" i="15"/>
  <c r="F46" i="15"/>
  <c r="F41" i="15"/>
  <c r="F40" i="15"/>
  <c r="F39" i="15"/>
  <c r="F38" i="15"/>
  <c r="F37" i="15"/>
  <c r="F36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05" i="15" l="1"/>
  <c r="F32" i="15"/>
  <c r="F62" i="15"/>
  <c r="F100" i="15"/>
  <c r="F88" i="15"/>
  <c r="F43" i="15"/>
  <c r="F81" i="15"/>
  <c r="F48" i="15" l="1"/>
  <c r="F110" i="15" s="1"/>
  <c r="C18" i="1" s="1"/>
  <c r="C29" i="1" s="1"/>
  <c r="F131" i="6"/>
  <c r="F132" i="6"/>
  <c r="F134" i="6"/>
  <c r="F135" i="6"/>
  <c r="F136" i="6"/>
  <c r="F137" i="6"/>
  <c r="F138" i="6"/>
  <c r="F99" i="6"/>
  <c r="F100" i="6"/>
  <c r="F103" i="6"/>
  <c r="F104" i="6"/>
  <c r="F115" i="6"/>
  <c r="F116" i="6"/>
  <c r="F117" i="6"/>
  <c r="F118" i="6"/>
  <c r="F119" i="6"/>
  <c r="F120" i="6"/>
  <c r="F34" i="6"/>
  <c r="F35" i="6"/>
  <c r="F36" i="6"/>
  <c r="F37" i="6"/>
  <c r="F44" i="6"/>
  <c r="F48" i="6"/>
  <c r="F49" i="6"/>
  <c r="F50" i="6"/>
  <c r="F51" i="6"/>
  <c r="F56" i="6"/>
  <c r="F62" i="6"/>
  <c r="F63" i="6"/>
  <c r="F72" i="6"/>
  <c r="F73" i="6"/>
  <c r="F74" i="6"/>
  <c r="F75" i="6"/>
  <c r="F76" i="6"/>
  <c r="F78" i="6"/>
  <c r="F79" i="6"/>
  <c r="F82" i="6"/>
  <c r="F83" i="6"/>
  <c r="F84" i="6"/>
  <c r="F85" i="6"/>
  <c r="F86" i="6"/>
  <c r="F12" i="6"/>
  <c r="F13" i="6"/>
  <c r="F14" i="6"/>
  <c r="F15" i="6"/>
  <c r="F16" i="6"/>
  <c r="F11" i="6"/>
  <c r="F98" i="5"/>
  <c r="F99" i="5"/>
  <c r="F100" i="5"/>
  <c r="F101" i="5"/>
  <c r="F102" i="5"/>
  <c r="F73" i="5"/>
  <c r="F74" i="5"/>
  <c r="F75" i="5"/>
  <c r="F77" i="5"/>
  <c r="F78" i="5"/>
  <c r="F82" i="5"/>
  <c r="F83" i="5"/>
  <c r="F84" i="5"/>
  <c r="F85" i="5"/>
  <c r="F86" i="5"/>
  <c r="F87" i="5"/>
  <c r="F31" i="5"/>
  <c r="F32" i="5"/>
  <c r="F33" i="5"/>
  <c r="F34" i="5"/>
  <c r="F36" i="5"/>
  <c r="F41" i="5"/>
  <c r="F42" i="5"/>
  <c r="F45" i="5"/>
  <c r="F46" i="5"/>
  <c r="F47" i="5"/>
  <c r="F48" i="5"/>
  <c r="F49" i="5"/>
  <c r="F50" i="5"/>
  <c r="F52" i="5"/>
  <c r="F53" i="5"/>
  <c r="F54" i="5"/>
  <c r="F56" i="5"/>
  <c r="F57" i="5"/>
  <c r="F58" i="5"/>
  <c r="F59" i="5"/>
  <c r="F60" i="5"/>
  <c r="F11" i="5"/>
  <c r="F12" i="5"/>
  <c r="F13" i="5"/>
  <c r="F10" i="5"/>
  <c r="F215" i="2"/>
  <c r="F216" i="2"/>
  <c r="F218" i="2"/>
  <c r="F219" i="2"/>
  <c r="F135" i="2"/>
  <c r="F136" i="2"/>
  <c r="F137" i="2"/>
  <c r="F138" i="2"/>
  <c r="F139" i="2"/>
  <c r="F140" i="2"/>
  <c r="F141" i="2"/>
  <c r="F142" i="2"/>
  <c r="F144" i="2"/>
  <c r="F145" i="2"/>
  <c r="F147" i="2"/>
  <c r="F148" i="2"/>
  <c r="F150" i="2"/>
  <c r="F151" i="2"/>
  <c r="F153" i="2"/>
  <c r="F154" i="2"/>
  <c r="F156" i="2"/>
  <c r="F157" i="2"/>
  <c r="F159" i="2"/>
  <c r="F160" i="2"/>
  <c r="F161" i="2"/>
  <c r="F134" i="2"/>
  <c r="F87" i="2"/>
  <c r="F88" i="2"/>
  <c r="F90" i="2"/>
  <c r="F91" i="2"/>
  <c r="F93" i="2"/>
  <c r="F94" i="2"/>
  <c r="F96" i="2"/>
  <c r="F97" i="2"/>
  <c r="F99" i="2"/>
  <c r="F100" i="2"/>
  <c r="F101" i="2"/>
  <c r="F102" i="2"/>
  <c r="F104" i="2"/>
  <c r="F105" i="2"/>
  <c r="F106" i="2"/>
  <c r="F107" i="2"/>
  <c r="F108" i="2"/>
  <c r="F109" i="2"/>
  <c r="F110" i="2"/>
  <c r="F111" i="2"/>
  <c r="F113" i="2"/>
  <c r="F114" i="2"/>
  <c r="F116" i="2"/>
  <c r="F117" i="2"/>
  <c r="F118" i="2"/>
  <c r="F119" i="2"/>
  <c r="F120" i="2"/>
  <c r="F121" i="2"/>
  <c r="F86" i="2"/>
  <c r="F24" i="2"/>
  <c r="F25" i="2"/>
  <c r="F29" i="2"/>
  <c r="F30" i="2"/>
  <c r="F34" i="2"/>
  <c r="F35" i="2"/>
  <c r="F37" i="2"/>
  <c r="F38" i="2"/>
  <c r="F42" i="2"/>
  <c r="F43" i="2"/>
  <c r="F45" i="2"/>
  <c r="F46" i="2"/>
  <c r="F48" i="2"/>
  <c r="F49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11" i="2"/>
  <c r="F12" i="2"/>
  <c r="F10" i="2"/>
  <c r="D98" i="2" l="1"/>
  <c r="F98" i="2" s="1"/>
  <c r="D51" i="5"/>
  <c r="F51" i="5" s="1"/>
  <c r="D77" i="6"/>
  <c r="D32" i="2"/>
  <c r="D31" i="2"/>
  <c r="D50" i="2"/>
  <c r="D35" i="5"/>
  <c r="F35" i="5" s="1"/>
  <c r="D17" i="2"/>
  <c r="D16" i="2"/>
  <c r="D13" i="2"/>
  <c r="D139" i="6"/>
  <c r="D103" i="5"/>
  <c r="F103" i="5" s="1"/>
  <c r="D59" i="2"/>
  <c r="F59" i="2" s="1"/>
  <c r="D115" i="2"/>
  <c r="F115" i="2" s="1"/>
  <c r="D112" i="2"/>
  <c r="F112" i="2" s="1"/>
  <c r="D47" i="2"/>
  <c r="F47" i="2" s="1"/>
  <c r="D220" i="2"/>
  <c r="F220" i="2" s="1"/>
  <c r="D217" i="2"/>
  <c r="F217" i="2" s="1"/>
  <c r="D194" i="2"/>
  <c r="D210" i="2" s="1"/>
  <c r="D193" i="2"/>
  <c r="D209" i="2" s="1"/>
  <c r="D192" i="2"/>
  <c r="D208" i="2" s="1"/>
  <c r="D191" i="2"/>
  <c r="D207" i="2" s="1"/>
  <c r="D186" i="2"/>
  <c r="D185" i="2"/>
  <c r="D184" i="2"/>
  <c r="D183" i="2"/>
  <c r="D182" i="2"/>
  <c r="B192" i="2"/>
  <c r="B208" i="2" s="1"/>
  <c r="B191" i="2"/>
  <c r="B207" i="2" s="1"/>
  <c r="B184" i="2"/>
  <c r="B200" i="2" s="1"/>
  <c r="B183" i="2"/>
  <c r="B199" i="2" s="1"/>
  <c r="B194" i="2"/>
  <c r="B210" i="2" s="1"/>
  <c r="B193" i="2"/>
  <c r="B209" i="2" s="1"/>
  <c r="D190" i="2"/>
  <c r="D206" i="2" s="1"/>
  <c r="B190" i="2"/>
  <c r="B206" i="2" s="1"/>
  <c r="B186" i="2"/>
  <c r="B202" i="2" s="1"/>
  <c r="B185" i="2"/>
  <c r="B201" i="2" s="1"/>
  <c r="B182" i="2"/>
  <c r="B198" i="2" s="1"/>
  <c r="D179" i="2"/>
  <c r="F179" i="2" s="1"/>
  <c r="D103" i="2"/>
  <c r="F103" i="2" s="1"/>
  <c r="D89" i="2"/>
  <c r="F89" i="2" s="1"/>
  <c r="D27" i="2"/>
  <c r="D22" i="2"/>
  <c r="D36" i="2" l="1"/>
  <c r="F36" i="2" s="1"/>
  <c r="F13" i="2"/>
  <c r="D21" i="2"/>
  <c r="D18" i="2"/>
  <c r="F18" i="2" s="1"/>
  <c r="D41" i="2"/>
  <c r="F41" i="2" s="1"/>
  <c r="F50" i="2"/>
  <c r="F139" i="6"/>
  <c r="F77" i="6"/>
  <c r="D199" i="2"/>
  <c r="D202" i="2"/>
  <c r="D198" i="2"/>
  <c r="D200" i="2"/>
  <c r="D201" i="2"/>
  <c r="D211" i="2"/>
  <c r="F211" i="2" s="1"/>
  <c r="D195" i="2"/>
  <c r="F195" i="2" s="1"/>
  <c r="D187" i="2"/>
  <c r="F187" i="2" s="1"/>
  <c r="D79" i="5"/>
  <c r="F79" i="5" s="1"/>
  <c r="D80" i="5"/>
  <c r="F80" i="5" s="1"/>
  <c r="D76" i="5"/>
  <c r="F76" i="5" s="1"/>
  <c r="D43" i="5"/>
  <c r="F43" i="5" s="1"/>
  <c r="D37" i="5"/>
  <c r="F37" i="5" s="1"/>
  <c r="D203" i="2" l="1"/>
  <c r="F203" i="2" s="1"/>
  <c r="D113" i="6"/>
  <c r="F113" i="6" s="1"/>
  <c r="D112" i="6"/>
  <c r="F112" i="6" s="1"/>
  <c r="D111" i="6"/>
  <c r="F111" i="6" s="1"/>
  <c r="D110" i="6"/>
  <c r="F110" i="6" s="1"/>
  <c r="D109" i="6"/>
  <c r="F109" i="6" s="1"/>
  <c r="D108" i="6"/>
  <c r="F108" i="6" s="1"/>
  <c r="D107" i="6"/>
  <c r="F107" i="6" s="1"/>
  <c r="D106" i="6"/>
  <c r="F106" i="6" s="1"/>
  <c r="D105" i="6"/>
  <c r="F105" i="6" s="1"/>
  <c r="D98" i="6"/>
  <c r="F98" i="6" s="1"/>
  <c r="D101" i="6"/>
  <c r="F101" i="6" s="1"/>
  <c r="D81" i="6"/>
  <c r="F81" i="6" s="1"/>
  <c r="D69" i="6"/>
  <c r="F69" i="6" s="1"/>
  <c r="D68" i="6"/>
  <c r="F68" i="6" s="1"/>
  <c r="D67" i="6"/>
  <c r="F67" i="6" s="1"/>
  <c r="D66" i="6"/>
  <c r="F66" i="6" s="1"/>
  <c r="D65" i="6"/>
  <c r="F65" i="6" s="1"/>
  <c r="D64" i="6"/>
  <c r="F64" i="6" s="1"/>
  <c r="D59" i="6"/>
  <c r="F59" i="6" s="1"/>
  <c r="D57" i="6"/>
  <c r="F57" i="6" s="1"/>
  <c r="D46" i="6"/>
  <c r="F46" i="6" s="1"/>
  <c r="D45" i="6"/>
  <c r="F45" i="6" s="1"/>
  <c r="D43" i="6"/>
  <c r="F43" i="6" s="1"/>
  <c r="D42" i="6"/>
  <c r="F42" i="6" s="1"/>
  <c r="D41" i="6"/>
  <c r="F41" i="6" s="1"/>
  <c r="D40" i="6"/>
  <c r="F40" i="6" s="1"/>
  <c r="D39" i="6"/>
  <c r="F39" i="6" s="1"/>
  <c r="D38" i="6"/>
  <c r="F38" i="6" s="1"/>
  <c r="D214" i="2" l="1"/>
  <c r="D133" i="6"/>
  <c r="D130" i="6"/>
  <c r="D70" i="6"/>
  <c r="F70" i="6" s="1"/>
  <c r="D60" i="6"/>
  <c r="F60" i="6" s="1"/>
  <c r="D58" i="6"/>
  <c r="F58" i="6" s="1"/>
  <c r="D55" i="6"/>
  <c r="F55" i="6" s="1"/>
  <c r="D54" i="6"/>
  <c r="F54" i="6" s="1"/>
  <c r="D53" i="6"/>
  <c r="D52" i="6"/>
  <c r="F52" i="6" s="1"/>
  <c r="D47" i="6"/>
  <c r="D33" i="6"/>
  <c r="D97" i="5"/>
  <c r="F97" i="5" s="1"/>
  <c r="D96" i="5"/>
  <c r="D72" i="5"/>
  <c r="F72" i="5" s="1"/>
  <c r="D55" i="5"/>
  <c r="F55" i="5" s="1"/>
  <c r="D44" i="5"/>
  <c r="F44" i="5" s="1"/>
  <c r="D39" i="5"/>
  <c r="F39" i="5" s="1"/>
  <c r="D38" i="5"/>
  <c r="F38" i="5" s="1"/>
  <c r="D30" i="5"/>
  <c r="F30" i="5" s="1"/>
  <c r="F16" i="5"/>
  <c r="C16" i="7" s="1"/>
  <c r="D158" i="2"/>
  <c r="F158" i="2" s="1"/>
  <c r="D152" i="2"/>
  <c r="F152" i="2" s="1"/>
  <c r="D143" i="2"/>
  <c r="D33" i="2"/>
  <c r="D26" i="2"/>
  <c r="D28" i="2" s="1"/>
  <c r="F28" i="2" s="1"/>
  <c r="F214" i="2" l="1"/>
  <c r="F224" i="2" s="1"/>
  <c r="F226" i="2" s="1"/>
  <c r="C20" i="4" s="1"/>
  <c r="D146" i="2"/>
  <c r="F146" i="2" s="1"/>
  <c r="F143" i="2"/>
  <c r="F47" i="6"/>
  <c r="F133" i="6"/>
  <c r="F33" i="6"/>
  <c r="F53" i="6"/>
  <c r="F130" i="6"/>
  <c r="D81" i="5"/>
  <c r="D114" i="6"/>
  <c r="D61" i="6"/>
  <c r="D102" i="6"/>
  <c r="D71" i="6"/>
  <c r="F18" i="6"/>
  <c r="C16" i="10" s="1"/>
  <c r="D40" i="5"/>
  <c r="D23" i="2"/>
  <c r="F23" i="2" s="1"/>
  <c r="D92" i="2"/>
  <c r="F92" i="2" s="1"/>
  <c r="D39" i="2"/>
  <c r="F39" i="2" s="1"/>
  <c r="D149" i="2"/>
  <c r="F149" i="2" s="1"/>
  <c r="F81" i="5" l="1"/>
  <c r="F89" i="5" s="1"/>
  <c r="C20" i="7" s="1"/>
  <c r="F40" i="5"/>
  <c r="F62" i="5" s="1"/>
  <c r="F102" i="6"/>
  <c r="F114" i="6"/>
  <c r="F71" i="6"/>
  <c r="F61" i="6"/>
  <c r="D95" i="2"/>
  <c r="F95" i="2" s="1"/>
  <c r="D44" i="2"/>
  <c r="F44" i="2" s="1"/>
  <c r="D155" i="2"/>
  <c r="D40" i="2"/>
  <c r="F40" i="2" s="1"/>
  <c r="F155" i="2" l="1"/>
  <c r="F165" i="2" s="1"/>
  <c r="F167" i="2" s="1"/>
  <c r="C18" i="4" s="1"/>
  <c r="C18" i="7"/>
  <c r="F107" i="5"/>
  <c r="F109" i="5" s="1"/>
  <c r="C22" i="7" s="1"/>
  <c r="C24" i="7" s="1"/>
  <c r="C29" i="7" s="1"/>
  <c r="F88" i="6"/>
  <c r="C18" i="10" s="1"/>
  <c r="F122" i="6"/>
  <c r="C20" i="10" s="1"/>
  <c r="F125" i="2"/>
  <c r="F127" i="2" s="1"/>
  <c r="C16" i="4" s="1"/>
  <c r="F77" i="2"/>
  <c r="F79" i="2" s="1"/>
  <c r="C14" i="4" s="1"/>
  <c r="C22" i="4" l="1"/>
  <c r="C11" i="1"/>
  <c r="F143" i="6"/>
  <c r="F145" i="6" s="1"/>
  <c r="C22" i="10" s="1"/>
  <c r="C24" i="10" s="1"/>
  <c r="C29" i="10" s="1"/>
  <c r="C9" i="1"/>
  <c r="C25" i="4"/>
  <c r="C13" i="1" l="1"/>
  <c r="C15" i="1" s="1"/>
  <c r="C27" i="1" s="1"/>
  <c r="C33" i="1" s="1"/>
  <c r="C36" i="1" s="1"/>
  <c r="C38" i="1" s="1"/>
  <c r="C40" i="1" l="1"/>
  <c r="C42" i="1" s="1"/>
</calcChain>
</file>

<file path=xl/sharedStrings.xml><?xml version="1.0" encoding="utf-8"?>
<sst xmlns="http://schemas.openxmlformats.org/spreadsheetml/2006/main" count="773" uniqueCount="477">
  <si>
    <t>REKAPITULACIJA - ZUNANJA UREDITEV</t>
  </si>
  <si>
    <t>PRIPRAVLJALNA IN ZAKLJUČNA DELA</t>
  </si>
  <si>
    <t>CESTE IN PLATOJI</t>
  </si>
  <si>
    <t>KANALIZACIJA</t>
  </si>
  <si>
    <t>%</t>
  </si>
  <si>
    <t xml:space="preserve"> 1. 1</t>
  </si>
  <si>
    <t xml:space="preserve"> 1. 2</t>
  </si>
  <si>
    <t>Strojni odriv humusa deb. 20cm, nakladanje in transport na začasno deponijo v oddaljenosti do 100m.</t>
  </si>
  <si>
    <r>
      <t>m</t>
    </r>
    <r>
      <rPr>
        <vertAlign val="superscript"/>
        <sz val="10"/>
        <rFont val="Arial CE"/>
        <family val="2"/>
        <charset val="238"/>
      </rPr>
      <t>3</t>
    </r>
  </si>
  <si>
    <t xml:space="preserve"> 1. 3</t>
  </si>
  <si>
    <t>Široki strojni izkop v terenu III. ktg. z nakladanjem in transportom do začasne deponije v oddaljenosti do 100m.</t>
  </si>
  <si>
    <t>-peskolov/maščobnik</t>
  </si>
  <si>
    <t>-čistilni blok</t>
  </si>
  <si>
    <t xml:space="preserve"> 1. 4</t>
  </si>
  <si>
    <t>Zasipanje za objekti s planiranjem in utrjevanjem v slojih do 20cm.</t>
  </si>
  <si>
    <t xml:space="preserve"> 1. 5</t>
  </si>
  <si>
    <r>
      <t>m</t>
    </r>
    <r>
      <rPr>
        <vertAlign val="superscript"/>
        <sz val="10"/>
        <rFont val="Arial CE"/>
        <family val="2"/>
        <charset val="238"/>
      </rPr>
      <t>2</t>
    </r>
  </si>
  <si>
    <t xml:space="preserve"> 1. 6</t>
  </si>
  <si>
    <t>Dobava, transport vgradnja in komprimacija drobljenca 0 - 32mm v tamponski sloj pod objekte.</t>
  </si>
  <si>
    <t xml:space="preserve"> 1. 7</t>
  </si>
  <si>
    <t>Planiranje in humusiranje površin v deb. 30cm z materialom deponiranim na začasni deponiji.</t>
  </si>
  <si>
    <t xml:space="preserve"> 1. 8</t>
  </si>
  <si>
    <t>Odvoz odvečnega materiala na stalno deponijo oddaljenosti do 10 km, s planiranjem in deponijsko takso</t>
  </si>
  <si>
    <t>-humus</t>
  </si>
  <si>
    <t xml:space="preserve"> 1. 10</t>
  </si>
  <si>
    <t>Zatravitev površin</t>
  </si>
  <si>
    <t xml:space="preserve"> 1. 11</t>
  </si>
  <si>
    <r>
      <t>m</t>
    </r>
    <r>
      <rPr>
        <vertAlign val="superscript"/>
        <sz val="10"/>
        <rFont val="Arial CE"/>
        <family val="2"/>
        <charset val="238"/>
      </rPr>
      <t>1</t>
    </r>
  </si>
  <si>
    <t xml:space="preserve"> 1. 12</t>
  </si>
  <si>
    <t>ur</t>
  </si>
  <si>
    <t xml:space="preserve"> 1. 13</t>
  </si>
  <si>
    <t>Preiskus vodotesnosti bazenov (čistilni blok, peskolov) akreditiranega laboratorija, vodo za polnitev priskrbi upravljalec</t>
  </si>
  <si>
    <t>kpl</t>
  </si>
  <si>
    <t xml:space="preserve"> 1. 14</t>
  </si>
  <si>
    <t>Tlačni preizkus kanalizacije in jaškov z izdelavo končnega poročila skladno s SIST EN 1610</t>
  </si>
  <si>
    <t xml:space="preserve"> 1. 15</t>
  </si>
  <si>
    <t>Pregled kanalizacije s kamero in izdelavo poročila</t>
  </si>
  <si>
    <t>Izdelava geodetskega posnetka in vris v kataster.</t>
  </si>
  <si>
    <t xml:space="preserve"> 1. 16</t>
  </si>
  <si>
    <t>Izdelava projekta izvedenih del 1 x CD v digitalni obliki, 3 x PID v mapi</t>
  </si>
  <si>
    <t>Razna manjša dela, potrebna za dokončanje ureditve, obračun po porabljenem času in materialu</t>
  </si>
  <si>
    <t>ocena (10% vseh del).</t>
  </si>
  <si>
    <t>PRIPRAVLJALNA IN ZAKLJUČNA DELA SKUPAJ:</t>
  </si>
  <si>
    <t xml:space="preserve"> 2. 1</t>
  </si>
  <si>
    <t>Zakoličba platoja z višinsko navezavo in zavarovanjem zakoličbe.</t>
  </si>
  <si>
    <t xml:space="preserve"> 2. 2</t>
  </si>
  <si>
    <t>Planiranje in valjanje planuma spodnjega ustroja</t>
  </si>
  <si>
    <t xml:space="preserve"> 2. 3</t>
  </si>
  <si>
    <t>Dobava, transport, in polaganje filterske polsti pred nasipanjem tampona (politlak filc 300g).</t>
  </si>
  <si>
    <t xml:space="preserve"> 2. 4</t>
  </si>
  <si>
    <t xml:space="preserve"> 2. 5</t>
  </si>
  <si>
    <t xml:space="preserve"> 2. 6</t>
  </si>
  <si>
    <t>Dobava, transport in izdelava asfaltnih površin z ustreznim vzdolžnim in prečnim naklonom v slojih:</t>
  </si>
  <si>
    <t>-AC 22 base B50/70 A3-6 cm</t>
  </si>
  <si>
    <t>-AC 8 surf B50/70 A3-3 cm</t>
  </si>
  <si>
    <t xml:space="preserve"> 2. 7</t>
  </si>
  <si>
    <t>Dobava, transport in polaganje betonskih prefabriciranih robnikov 15x25x100cm, vključno z izvedbo betonskega ležišča robnikov z C16/20.</t>
  </si>
  <si>
    <t xml:space="preserve"> 2. 8</t>
  </si>
  <si>
    <t>Dobava, transport in polaganje betonskih prefabriciranih robnikov 8x20x100cm, vključno z izvedbo  ležišča robnikov iz betona C16/20.</t>
  </si>
  <si>
    <t xml:space="preserve"> 2. 9</t>
  </si>
  <si>
    <t>CESTE IN PLATOJI SKUPAJ:</t>
  </si>
  <si>
    <t xml:space="preserve"> 3. 1</t>
  </si>
  <si>
    <t>Zakoličba trase z višinsko navezavo in zavarovanjem zakoličbe.</t>
  </si>
  <si>
    <t xml:space="preserve"> 3. 2</t>
  </si>
  <si>
    <t xml:space="preserve"> 3. 3</t>
  </si>
  <si>
    <t xml:space="preserve"> 3. 4</t>
  </si>
  <si>
    <t>Strojni izkop jarkov v terenu III. Ktg. globine ca 1,5m z odlaganjem na rob gradbene jame</t>
  </si>
  <si>
    <t xml:space="preserve"> 3. 5</t>
  </si>
  <si>
    <t>Ročno planiranje dna jarkov s točnostjo +- 3cm in utrjevanje dna jarka.</t>
  </si>
  <si>
    <t xml:space="preserve"> 3. 6</t>
  </si>
  <si>
    <t>Zasip cevi v plasteh po 15cm ter komprimacija z lahkimi komprimacijskimi sredstvi.</t>
  </si>
  <si>
    <t xml:space="preserve"> 3. 7</t>
  </si>
  <si>
    <t>Dobava, transport in vgraditev peščenega materiala granulacije 0-4mm v peščeno ležišče.</t>
  </si>
  <si>
    <t xml:space="preserve"> 3. 8</t>
  </si>
  <si>
    <t>Odvoz izkopanega materiala na stalno deponijo s planiranjem in deponijsko takso</t>
  </si>
  <si>
    <t xml:space="preserve"> 3. 9</t>
  </si>
  <si>
    <t>Obbetoniranje cevi pod povoznimi površinami z betonom C16/20.</t>
  </si>
  <si>
    <t xml:space="preserve"> 3. 10</t>
  </si>
  <si>
    <t>Nabava, vgrajevanje in končna obdelava revizijskega jaška iz umetne mase. Premer jaška 80cm, globine do 1,5m, kompletno z izkopom, zasipom in LTŽ pokrovom nosilnosti 50kN.</t>
  </si>
  <si>
    <t>kos</t>
  </si>
  <si>
    <t xml:space="preserve"> 3. 11</t>
  </si>
  <si>
    <t>KANALIZACIJA SKUPAJ:</t>
  </si>
  <si>
    <r>
      <t>m</t>
    </r>
    <r>
      <rPr>
        <vertAlign val="superscript"/>
        <sz val="10"/>
        <rFont val="Arial"/>
        <family val="2"/>
        <charset val="238"/>
      </rPr>
      <t>3</t>
    </r>
  </si>
  <si>
    <r>
      <t>m</t>
    </r>
    <r>
      <rPr>
        <vertAlign val="superscript"/>
        <sz val="10"/>
        <rFont val="Arial"/>
        <family val="2"/>
        <charset val="238"/>
      </rPr>
      <t>2</t>
    </r>
  </si>
  <si>
    <r>
      <t>m</t>
    </r>
    <r>
      <rPr>
        <vertAlign val="superscript"/>
        <sz val="10"/>
        <rFont val="Arial"/>
        <family val="2"/>
        <charset val="238"/>
      </rPr>
      <t>1</t>
    </r>
  </si>
  <si>
    <t>SKUPAJ - cena brez DDV</t>
  </si>
  <si>
    <t>ZUNANJA UREDITEV</t>
  </si>
  <si>
    <t>REKAPITULACIJA - ČISTILNI BLOK 2</t>
  </si>
  <si>
    <t>A. GRADBENA DELA</t>
  </si>
  <si>
    <t>PRIPRAVLJALNA DELA</t>
  </si>
  <si>
    <t>BETONERSKA IN ŽELEZOKRIVSKA DELA</t>
  </si>
  <si>
    <t>TESARSKA DELA</t>
  </si>
  <si>
    <t>OSTALA DELA</t>
  </si>
  <si>
    <t>GRADBENA DELA SKUPAJ:</t>
  </si>
  <si>
    <t>DELA SKUPAJ - cena brez DDV</t>
  </si>
  <si>
    <t>Zakoličba objekta tlorisnih dimenzij 2,2 x 2,6m z višinsko navezavo in zavarovanjem zakoličbe.</t>
  </si>
  <si>
    <t>Izdelava, postavitev, zavarovanje in demontaža gradbenih profilov.</t>
  </si>
  <si>
    <t>PRIPRAVLJALNA DELA SKUPAJ:</t>
  </si>
  <si>
    <t>ZEMELJSKA DELA</t>
  </si>
  <si>
    <t>Upoštevana pri popisu del zunanje ureditve</t>
  </si>
  <si>
    <t>Dobava in vgrajevanje podložnega betona C12/15, XC2. Prerez konstrukcije do 0.10m3m2.</t>
  </si>
  <si>
    <t>0,1*2,7*3,1</t>
  </si>
  <si>
    <t>Dobava in vgrajevanje betona C30/37,XC4,XA1,PVII - vodotesen, vododržen ter zmrzlinsko odporen.</t>
  </si>
  <si>
    <t>temeljna plošča</t>
  </si>
  <si>
    <t>0,3*2,50*2,9</t>
  </si>
  <si>
    <t>stene</t>
  </si>
  <si>
    <t>0,3*3,5*2,3*2</t>
  </si>
  <si>
    <t>0,3*3,5*1,9*2</t>
  </si>
  <si>
    <t xml:space="preserve">Dobava in vgrajevanje polnilnega betona C16/20 - vodotesen, vododržen. </t>
  </si>
  <si>
    <t xml:space="preserve">Dobava in vgrajevanje ekspanzij-skega zalivnega betona C30/37,XC4,XA1,PVII - v odprtine po vgradnji tehnološke opreme in delovne stike - vodotesen, vododržen ter zmrzlinsko odporen. </t>
  </si>
  <si>
    <t>-odprtine po vgradnji tehn. opreme</t>
  </si>
  <si>
    <t xml:space="preserve">Izdelava vododržnega delovnega stika v betonski konstrukciji z uporabo bitumiziranih jeklenih trakov npr. Tekatrak Metal 160-VB-2 širine 160mm.  Na vseh delovnih stikih se na zunanji strani armature vgradi še nabrekajoč tesnilni trak. </t>
  </si>
  <si>
    <t>2,3+1,9+2,3+1,9</t>
  </si>
  <si>
    <t>Dobava, oblikovanje in polaganje armature, vključno z distančniki in ostalim materialom. (ocena)</t>
  </si>
  <si>
    <t xml:space="preserve">S500B do vključno fi 12                   </t>
  </si>
  <si>
    <t>kg</t>
  </si>
  <si>
    <t xml:space="preserve">S500B nad fi 12                  </t>
  </si>
  <si>
    <t xml:space="preserve">S500 B mrežna armatura                 </t>
  </si>
  <si>
    <t>BETONERSKA IN ŽELEZOKRIVSKA DELA SKUPAJ:</t>
  </si>
  <si>
    <t>Dobava, montaža in demontaža opaža kompletno z veznimi sredstvi in vodonepropustnimi distančniki, vključno z odri</t>
  </si>
  <si>
    <t xml:space="preserve"> 4. 1</t>
  </si>
  <si>
    <t>Enostranski opaž temeljne plošče- beton ni viden</t>
  </si>
  <si>
    <t>0,30*(2,5+2,9)*2</t>
  </si>
  <si>
    <t xml:space="preserve"> 4. 2</t>
  </si>
  <si>
    <t>Dvostranski opaž ravnih sten višine do 6,0m- beton viden</t>
  </si>
  <si>
    <t xml:space="preserve"> 4. 5</t>
  </si>
  <si>
    <t>Montaža in demontaža lesenih letev kot opaž zobu ali zaključka v betonskih konstrukcijah. Ocena</t>
  </si>
  <si>
    <t xml:space="preserve"> 4. 6</t>
  </si>
  <si>
    <t>-pravokotne odprtine razvite površine do 1m2</t>
  </si>
  <si>
    <t>TESARSKA DELA SKUPAJ:</t>
  </si>
  <si>
    <t xml:space="preserve"> 5. 1</t>
  </si>
  <si>
    <t>Dobava in polaganje dveh slojev PVC ali PE folije debeline 0,3mm na podložni beton.</t>
  </si>
  <si>
    <t>2,7*3,1</t>
  </si>
  <si>
    <t xml:space="preserve"> 5. 2</t>
  </si>
  <si>
    <t>m1</t>
  </si>
  <si>
    <t xml:space="preserve"> 5. 3</t>
  </si>
  <si>
    <t>Razna manjša dela, potrebna za dokončanje objekta, obračun po porabljenem času in materialu.</t>
  </si>
  <si>
    <t>OSTALA DELA SKUPAJ:</t>
  </si>
  <si>
    <t>eur</t>
  </si>
  <si>
    <t>REKAPITULACIJA - GRABLJE, PESKOLOV IN MAŠČOBNIK</t>
  </si>
  <si>
    <t>GRABLJE, PESKOLOV IN MAŠČOBNIK</t>
  </si>
  <si>
    <t>Zakoličba objekta tlorisnih dimenzij 13,8 x 7,6m z višinsko navezavo in zavarovanjem zakoličbe.</t>
  </si>
  <si>
    <t xml:space="preserve">Naprava zagatnih sten za varovanje gradbene jame (med obstoječim čistilnim blokom in novim blokom): Dobava in vgradnja ter kasnejša odstranitev zagatnic, globine 9 m in skupne razvite dolžine 15 m. Upoštevati navodila geomehanika. </t>
  </si>
  <si>
    <t>komplet</t>
  </si>
  <si>
    <t>0,1*16,1*9,4</t>
  </si>
  <si>
    <t>0,1*6*0,5</t>
  </si>
  <si>
    <t>0,1*1,5*3*2</t>
  </si>
  <si>
    <t>Vgrajevanje v konstrukcije preseka od 0,20 do 0,25 m3/m2</t>
  </si>
  <si>
    <t>0,25*2,0*3,0*2</t>
  </si>
  <si>
    <t>plošča</t>
  </si>
  <si>
    <t>0,4*2,68*6,08</t>
  </si>
  <si>
    <t>0,4*15,4*9,2</t>
  </si>
  <si>
    <t>0,3*1,3*3*2</t>
  </si>
  <si>
    <t>0,4*0,6*5,78*2</t>
  </si>
  <si>
    <t>0,3*4,20*6,8*2</t>
  </si>
  <si>
    <t>1,0*0,8*1,0</t>
  </si>
  <si>
    <t>Opaž AB plošče, višina podpiranja do 5,0m - beton viden</t>
  </si>
  <si>
    <t>3,4*1,2-(0,25*1*0,8)</t>
  </si>
  <si>
    <t xml:space="preserve"> 4. 3</t>
  </si>
  <si>
    <t>16*9,4</t>
  </si>
  <si>
    <t>ČISTILNI BLOK 2</t>
  </si>
  <si>
    <t>0,2*1,2*3,95*2</t>
  </si>
  <si>
    <t>0,29*1,2*1,0*2</t>
  </si>
  <si>
    <t>0,2*1,0*5,2*2</t>
  </si>
  <si>
    <t>0,2*1,2*1,1*2</t>
  </si>
  <si>
    <t>0,2*1,0*1,1</t>
  </si>
  <si>
    <t>0,25*1,0*1,2*2</t>
  </si>
  <si>
    <t>0,20*0,2*1,0*2</t>
  </si>
  <si>
    <t>-0,4*1,57*4,98</t>
  </si>
  <si>
    <t>0,4*4,2*(7,2+2,3+7,3+3,8+7,2+2,4+7,3+3,7)</t>
  </si>
  <si>
    <t>0,4*0,6*1,58*2</t>
  </si>
  <si>
    <t>0,25*6,8*2,0</t>
  </si>
  <si>
    <t>(1,55*0,9)/2*6,8*2</t>
  </si>
  <si>
    <t>(1,55*0,9)/2*1,58*2</t>
  </si>
  <si>
    <t>(1,0*0,6)/2*5*2</t>
  </si>
  <si>
    <t>(1,0*0,6)/2*1.58*2</t>
  </si>
  <si>
    <t>(1,53*0,9)/2*1,58*2</t>
  </si>
  <si>
    <t>7,6+13,8+7,2+13,8+2,4+5,8+2,4+5,8+7,6+7,6+4*4,20</t>
  </si>
  <si>
    <t>Dobava in vgradnja kvadratnega vodotesnega pokrova LTŽ 80/80 C250</t>
  </si>
  <si>
    <t>0,40*(15,4+9,20)*2+0,4*(2,68+6,08)*2+0,3*(2,6+6)*2</t>
  </si>
  <si>
    <t>2*(1,2+1,4)*3,95</t>
  </si>
  <si>
    <t>2*(1,0+0,8)*5,2</t>
  </si>
  <si>
    <t>2*(2,4+5,8)*0,6</t>
  </si>
  <si>
    <t>2*(5,0+1,6)*1,0</t>
  </si>
  <si>
    <t>2*(7,6+13,8)*4,2</t>
  </si>
  <si>
    <t>2*(6,8+13)*4,2</t>
  </si>
  <si>
    <t>4*6,8*4,2</t>
  </si>
  <si>
    <t>(2*1,2+1,6)*1,4+3*1,4</t>
  </si>
  <si>
    <t>2*2*3*2</t>
  </si>
  <si>
    <t>Vgradnja jeklenih kotnikov 50x50 mm v AB stene, (dobava kotnikov v strojnem popisu)</t>
  </si>
  <si>
    <t>Montaža in demontaža lesenih škatel kot opaž prebojev in odprtin v betonskih zidovih.</t>
  </si>
  <si>
    <t>0,25*(1,4*2,0+0,4*2,0)</t>
  </si>
  <si>
    <t>0,5*2,0*0,4+1,6*2,0*0,6</t>
  </si>
  <si>
    <t>Opaž AB plošče, višina podpiranja do 4,0m - beton viden</t>
  </si>
  <si>
    <t>0,65*2,0</t>
  </si>
  <si>
    <t xml:space="preserve"> 4. 4</t>
  </si>
  <si>
    <t>Dvostranski opaž ravnih sten višine do 4,0m- beton viden</t>
  </si>
  <si>
    <t>2*1,4*2</t>
  </si>
  <si>
    <t>(5,2+4,4+3,2+4)*3,5</t>
  </si>
  <si>
    <t>Dobava in vgradnja jeklenih kotnikov 50x50 mm v AB stene</t>
  </si>
  <si>
    <t>OSTALI ZUNANJI RAZVODI</t>
  </si>
  <si>
    <t>Zakoličba trase z višinsko navezavo in zavarovanjem zakoličbe, kanalizacije v dolžini 20 m</t>
  </si>
  <si>
    <t>Dobava in polaganje kanalizacijskih PVC cevi premera 160mm s potrebnimi fazonskimi kosi in tesnilnimi gumami. Trdnostni razred cevi SN 8.</t>
  </si>
  <si>
    <t>-elektrokabelska kanalizacija</t>
  </si>
  <si>
    <t xml:space="preserve"> 4. 7</t>
  </si>
  <si>
    <t>Dobava in polaganje gibljivih instalacijskih PEHD cevi premera 110mm s potrebnimi fazonskimi komadi in tesnilnimi gumami ter  opozorilnim trakom. Cevi za elektroinstalacije.</t>
  </si>
  <si>
    <t xml:space="preserve"> 4. 8</t>
  </si>
  <si>
    <t xml:space="preserve"> 4. 9</t>
  </si>
  <si>
    <t>OSTALI ZUNANJI RAZVODI SKUPAJ:</t>
  </si>
  <si>
    <t>-komprimiran zrak</t>
  </si>
  <si>
    <t>-vodovod</t>
  </si>
  <si>
    <t>-odpadna voda in povratno blato</t>
  </si>
  <si>
    <t>-ozemljitve</t>
  </si>
  <si>
    <t>Strojni 80%, ročni 20% izkop jarkov v terenu III. Ktg. globine do 1.5m z odlaganjem na rob gradbene jame</t>
  </si>
  <si>
    <t>-odstranjen obstoječ asfalt</t>
  </si>
  <si>
    <t>Strojni izkop odrezane asfaltne plasti z nakladanjem</t>
  </si>
  <si>
    <t>Rezanje obstoječega asfalta z diamantno žago globine do 10 cm</t>
  </si>
  <si>
    <t>Dobava, transport in polaganje pranih betonskih plošč dim. 50x50x5cm, vključno z dobavo in izvedbo peščenega ležišča.</t>
  </si>
  <si>
    <t>Dobava, transport, in polaganje filterske polsti pred nasipanjem prodca (politlak filc 300g).</t>
  </si>
  <si>
    <t>Dobava, transport, vgradnja prodca 32 - 70mm debeline 0.10m.</t>
  </si>
  <si>
    <t>Dobava, transport in polaganje drenažnih cevi PVC fi 110 mm na betonsko muldo ter obsipom z drenažnim drobljencem 16 - 32mm preseka 0,8 m3/m1</t>
  </si>
  <si>
    <t>Dobava in polaganje kanalizacijskih  PVC cevi premera 110mm s potrebnimi fazonskimi kosi in tesnilnimi gumami. Trdnostni razred cevi SN 4.</t>
  </si>
  <si>
    <t>Nabava in montaža ograje iz žičnega pletiva, pocinkana plastificirana, višine 200cm. Vključno z vsemi deli (izkopi za temelje, temelj iz betona C16/20, globine 0,80m) ter transportnimi stroški.</t>
  </si>
  <si>
    <t>Črpanje podtalne vode z motorno črpalko 1500l/min; zajete potrebne aktivnosti za izvedbo - kanalete ob robovih izkopa, organizacija dežurstva, itd.</t>
  </si>
  <si>
    <t xml:space="preserve"> 1. 9</t>
  </si>
  <si>
    <t xml:space="preserve"> 1. 17</t>
  </si>
  <si>
    <t xml:space="preserve"> 1. 18</t>
  </si>
  <si>
    <t xml:space="preserve"> 1. 19</t>
  </si>
  <si>
    <t xml:space="preserve"> 1. 20</t>
  </si>
  <si>
    <t xml:space="preserve"> 1. 21</t>
  </si>
  <si>
    <t xml:space="preserve"> 2. 10</t>
  </si>
  <si>
    <t xml:space="preserve"> 2. 11</t>
  </si>
  <si>
    <t xml:space="preserve"> 2. 12</t>
  </si>
  <si>
    <t xml:space="preserve"> 2. 13</t>
  </si>
  <si>
    <t xml:space="preserve"> 5. 4</t>
  </si>
  <si>
    <t>Oplesk vseh vidnih betonskih površin na zunanji strani z akrilno pralno fasadno barvo na osnovi polimernih veziv po izboru investitorja npr. takril 2x premaz, predhodno premaz z akril emulzijo, ali enakovrednimi drugimi premazi.</t>
  </si>
  <si>
    <t xml:space="preserve"> 5. 5</t>
  </si>
  <si>
    <t>Vgradnja dvojnega nabrekajočega tesnilnega traku na odprtini tehnološke opreme, preden se zalije z ekspanzijskim betonom. (beton zajet v prejšnji postavki)</t>
  </si>
  <si>
    <t xml:space="preserve"> 1. 22</t>
  </si>
  <si>
    <t>Dobava, transport, vgradnja in komprimacija drobljenca 0 - 32mm v tamponski sloj debeline 0.40m za cesto oz. plato.</t>
  </si>
  <si>
    <t>Dobava, transport, vgradnja in komprimacija drobljenca 0 - 32mm v tamponski sloj debeline 0.30m za nasutje s prodcem in tlakovanjem z ploščami</t>
  </si>
  <si>
    <t>Prisotnost geomehanika pri izkopu in izdelava geomehanskega poročila o nosilnosti temeljnih tal</t>
  </si>
  <si>
    <t xml:space="preserve">REKAPITULACIJA GRADBENA DELA </t>
  </si>
  <si>
    <t xml:space="preserve">REKAPITULACIJA ELEKTRO DELA </t>
  </si>
  <si>
    <t>1.</t>
  </si>
  <si>
    <t>RAZDELILCI</t>
  </si>
  <si>
    <t>1.1</t>
  </si>
  <si>
    <t>Razdelilec RT</t>
  </si>
  <si>
    <t>Vgradnja opreme v obstoječo polje razdelilca :</t>
  </si>
  <si>
    <t>Ventilator dim. 252X252x119mm 230VAC 48W, 213m3/h, povečanje izreza</t>
  </si>
  <si>
    <t>kom</t>
  </si>
  <si>
    <t>Vhodni filter dim. 252X252 mm, povečanje izreza</t>
  </si>
  <si>
    <t>Odvodnik prenapetosti PROTEC C40/275</t>
  </si>
  <si>
    <t>Prenapetostna zaščita TT-STTB-PE-24</t>
  </si>
  <si>
    <t>Prenapetostna zaščita TT-ST 2/2-24VDC</t>
  </si>
  <si>
    <t>Varovalni odklopnik C16A/1p</t>
  </si>
  <si>
    <t>Motorsko zaščitno stikalo MP1.6/3P + BD-HR</t>
  </si>
  <si>
    <t>Kontaktor K2 16A10, 230VAC</t>
  </si>
  <si>
    <t>Kontaktor K2 09A10, 230VAC</t>
  </si>
  <si>
    <t>Frekvenčni regulator 5.5kW 3G3RX A4055</t>
  </si>
  <si>
    <t>Signalna svetilka 230V</t>
  </si>
  <si>
    <t>Vgradnja releja za tipanje temperature motorjev in izlitje vode (dobavi dobavitelj črpalk)</t>
  </si>
  <si>
    <t>Rele 24VDC 2xpreklopni 12A</t>
  </si>
  <si>
    <t>Rele 230VAC 2xpreklopni 12A</t>
  </si>
  <si>
    <t>Priklop ožičenja na krmilnik</t>
  </si>
  <si>
    <t>Priprava prostora za vgradnjo frekvenčnega regulatorja</t>
  </si>
  <si>
    <t>Sponka VS 4 mm2</t>
  </si>
  <si>
    <t>Priklop napajanih in krmilnih kablov komplet z označitvijo</t>
  </si>
  <si>
    <t>Drobni in pritrdilni material</t>
  </si>
  <si>
    <t>Razdelilec RT vgradnja skupaj :</t>
  </si>
  <si>
    <t>1.2</t>
  </si>
  <si>
    <t>Priključna omarica RM5.2</t>
  </si>
  <si>
    <t>Nadometna omarica PVC 400x300x200mm, IP66 Schrack</t>
  </si>
  <si>
    <t>Tipka gobasta IP55 na vrata</t>
  </si>
  <si>
    <t>Uvodnica Pg 9-21 mm</t>
  </si>
  <si>
    <t>Izdelava izreza na vratih, vgradnja avtomatike sonde O2 ter zatesnitev</t>
  </si>
  <si>
    <t>Drobni in vezni material</t>
  </si>
  <si>
    <t>Priključna omarica  RM5.2 skupaj :</t>
  </si>
  <si>
    <t>1.3</t>
  </si>
  <si>
    <t>Priključne doze s sponkami in uvodnicami</t>
  </si>
  <si>
    <t>RAZDELILCI SKUPAJ :</t>
  </si>
  <si>
    <t>2.</t>
  </si>
  <si>
    <t>KABELSKI RAZVOD</t>
  </si>
  <si>
    <t>Kabel OLFLEX 110 3x1 mm2</t>
  </si>
  <si>
    <t>m</t>
  </si>
  <si>
    <t>Kabel OLFLEX 110 4x1.5 mm2</t>
  </si>
  <si>
    <t>Kabel OLFLEX 110 CY 4x2.5 mm2</t>
  </si>
  <si>
    <t>Kabel OLFLEX 110 5x2.5 mm2</t>
  </si>
  <si>
    <t>Kabel OLFLEX 110 7x1.0 mm2</t>
  </si>
  <si>
    <t>Kabel FG 16or16 3x2.5 mm2</t>
  </si>
  <si>
    <t>Kabel LiyCy 2x0.5 mm2</t>
  </si>
  <si>
    <t>Kabel LiyCy 2x2x0.5 mm2</t>
  </si>
  <si>
    <t>Žica P/F 6 mm2</t>
  </si>
  <si>
    <t>KABELSKI RAZVOD skupaj :</t>
  </si>
  <si>
    <t>3.</t>
  </si>
  <si>
    <t>OSTALI ELEKTROINŠTALACIJSKI MATERIAL IN DELA</t>
  </si>
  <si>
    <t>Kabelska polica PK 100/60 komplet s spojnico, konzolama za zidno montažo in pokrovom dolžine 2m</t>
  </si>
  <si>
    <t>Kabelska polica PK 100/60 komplet s spojnicami, konzolami za zidno montažo in pokrovom, inox izvedbe</t>
  </si>
  <si>
    <t>Kabelska polica PK 50/60 komplet s  pokrovom, inox izvedbe</t>
  </si>
  <si>
    <t>Cev zaščitna flex fi 20 cm</t>
  </si>
  <si>
    <t>Cev zaščitna flex fi 16 cm</t>
  </si>
  <si>
    <t>Cev DWP 50</t>
  </si>
  <si>
    <t>PVC kanal NIK 40x40 s pritrdilnimi vijaki</t>
  </si>
  <si>
    <t>Induktivno stikalo M12 24VDC, NO</t>
  </si>
  <si>
    <t>Konzola za montažo induktivnega stikala na ventil zraka</t>
  </si>
  <si>
    <t>Kovinska konstrukcija za montažo omarice RM5.2 na ograjo bazena, inox</t>
  </si>
  <si>
    <t>Ostale kovinske konstrukcije za montažo sond, inox</t>
  </si>
  <si>
    <t xml:space="preserve">Izdelava galvanskih spojev </t>
  </si>
  <si>
    <t>Prestavitev grabelj iz čistilnega dela na peskolov zajema : 
-označitev vseh kablov, 
-odklop vseh kablov iz razdelilca, 
-prestavitev elektro opreme na novo lokacijo,  
-ozemljitev vseh kovinskih delov na temeljno ozemljilo, 
-montaža omarice na pripravljeno mesto, 
-uvlačenje kablov zaščitne cevi, 
-priklop na razdelilec upravljanja grabelj, 
-priklop napajalnih in upravljalnih kablov iz razdelilca RT, 
-preizkus in spuščanje v pogon</t>
  </si>
  <si>
    <t>Ureditev kontrole in nadzora nad grabljami na vhodnem črpališču : 
- vgradnja releja za vklop delovanja grabelj iz razdelilca RT
- vgradnja sponk in ožičenja,
- prevezave, priklopi in spuščanje v pogon</t>
  </si>
  <si>
    <t>Skupaj :</t>
  </si>
  <si>
    <t>4.</t>
  </si>
  <si>
    <t>Merilna tehnika</t>
  </si>
  <si>
    <t>Nivojno stikalo - hruška z 10m kabla</t>
  </si>
  <si>
    <t>Sonda O2 s temperaturo OXYMAX-W COS41 s transmiterjem LIQUISYS-M COM223</t>
  </si>
  <si>
    <t>Merilna tehnika skupaj :</t>
  </si>
  <si>
    <t>5.</t>
  </si>
  <si>
    <t>Strelovodna in ozemljitvena instalacija</t>
  </si>
  <si>
    <t>Valjanec ZnFe 25x4 mm2</t>
  </si>
  <si>
    <t>Valjanec Rf 30x3.5 mm2</t>
  </si>
  <si>
    <t>Sponka križna Rf</t>
  </si>
  <si>
    <t>Objemka za cev 50-150mm Rf</t>
  </si>
  <si>
    <t>Premostitev potenciala s Cu pletenico in čevlji</t>
  </si>
  <si>
    <t>Razni priklop na kovinske konstrukcije</t>
  </si>
  <si>
    <t>Bitumenski premaz za križne spoje</t>
  </si>
  <si>
    <t>Ozemljitvena instalacija skupaj :</t>
  </si>
  <si>
    <t>6.</t>
  </si>
  <si>
    <t>Izdelava aplikativnega programskega dela na krmilniku</t>
  </si>
  <si>
    <t>7.</t>
  </si>
  <si>
    <t>Izdelava aplikativnega programskega dela na terminalu</t>
  </si>
  <si>
    <t>8.</t>
  </si>
  <si>
    <t>Izdelava aplikativnega programskega dela na nadzornem centru</t>
  </si>
  <si>
    <t>9.</t>
  </si>
  <si>
    <t>Drobni, vijačni in nepredviden material 5%</t>
  </si>
  <si>
    <t>10.</t>
  </si>
  <si>
    <t>Priprave in transport</t>
  </si>
  <si>
    <t>11.</t>
  </si>
  <si>
    <t>Izdelava meritev pred udarom el.toka, ponikalne upornosti, strelovodne instalacije in zaščite z izdajo merilnega protokola</t>
  </si>
  <si>
    <t>12.</t>
  </si>
  <si>
    <t>Izdelava projekta PID (kompleten objekt)</t>
  </si>
  <si>
    <t>S K U P A J  :</t>
  </si>
  <si>
    <t>EUR</t>
  </si>
  <si>
    <t>OPOMBA :</t>
  </si>
  <si>
    <t>Gradbena dela niso zajeta v popisih.</t>
  </si>
  <si>
    <t>Cena na enoto 
v EUR</t>
  </si>
  <si>
    <t>Znesek v EUR
(brez DDV)</t>
  </si>
  <si>
    <t>01</t>
  </si>
  <si>
    <t>grablje, peskolov z maščobnikom</t>
  </si>
  <si>
    <t>01.01.01</t>
  </si>
  <si>
    <t>tlačni cevovod iz črpališča</t>
  </si>
  <si>
    <t>01.02.01</t>
  </si>
  <si>
    <t>ročna groba rešetka</t>
  </si>
  <si>
    <t>01.03.01</t>
  </si>
  <si>
    <t>potopna stena</t>
  </si>
  <si>
    <t>01.04.01</t>
  </si>
  <si>
    <t>iztočni cevovod</t>
  </si>
  <si>
    <t>01.04.02</t>
  </si>
  <si>
    <t>izolacija iztočnega cevovoda</t>
  </si>
  <si>
    <t>01.05.01</t>
  </si>
  <si>
    <t>cevovod za odvzem peska</t>
  </si>
  <si>
    <t>01.06.01</t>
  </si>
  <si>
    <t>dovod vodovoda do finih grabelj</t>
  </si>
  <si>
    <t>01.07.01</t>
  </si>
  <si>
    <t xml:space="preserve">prekritje </t>
  </si>
  <si>
    <t>01.08.01</t>
  </si>
  <si>
    <t>ograja</t>
  </si>
  <si>
    <t>01.09.01</t>
  </si>
  <si>
    <t>dostopna lestev</t>
  </si>
  <si>
    <t>01.10.01</t>
  </si>
  <si>
    <t>02</t>
  </si>
  <si>
    <t>čistilni blok 1</t>
  </si>
  <si>
    <t>02.01.01</t>
  </si>
  <si>
    <t>prestavitev finih grabelj</t>
  </si>
  <si>
    <t>02.02.01</t>
  </si>
  <si>
    <t>prelivno korito</t>
  </si>
  <si>
    <t>02.03.01</t>
  </si>
  <si>
    <t>ročna tablasta zapornica</t>
  </si>
  <si>
    <t>02.04.01</t>
  </si>
  <si>
    <t>cevovod dotoka v čistilni blok 2</t>
  </si>
  <si>
    <t>02.04.02</t>
  </si>
  <si>
    <t>izolacija cevovoda dotoka v čistilni blok 2</t>
  </si>
  <si>
    <t>02.05.01</t>
  </si>
  <si>
    <t>cevovod odvoda kondenza čistilnega bloka 1</t>
  </si>
  <si>
    <t>02.06.01</t>
  </si>
  <si>
    <t>02.07.01</t>
  </si>
  <si>
    <t>02.08.01</t>
  </si>
  <si>
    <t>03</t>
  </si>
  <si>
    <t>čistilni blok 2</t>
  </si>
  <si>
    <t>03.01.01</t>
  </si>
  <si>
    <t>prezračevalni sistem bazena čistilnega bloka 2</t>
  </si>
  <si>
    <t>03.02.01</t>
  </si>
  <si>
    <t>potopne cevi iztoka iz sekundarnega usedalnika</t>
  </si>
  <si>
    <t>03.03.01</t>
  </si>
  <si>
    <t>cevovod dotoka v sekundarni usedalnik</t>
  </si>
  <si>
    <t>03.04.01</t>
  </si>
  <si>
    <t>cevovod blata iz konusa sekundarnega usedalnika</t>
  </si>
  <si>
    <t>03.05.01</t>
  </si>
  <si>
    <t>črpalka povratnega in odvišnega blata</t>
  </si>
  <si>
    <t>03.06.01</t>
  </si>
  <si>
    <t>cevovod povratnega in odvišnega blata</t>
  </si>
  <si>
    <t>03.07.01</t>
  </si>
  <si>
    <t>cevovod blatenice iz zgoščevalnika</t>
  </si>
  <si>
    <t>03.08.01</t>
  </si>
  <si>
    <t>cevovod za odvzem zgoščenega blata</t>
  </si>
  <si>
    <t>03.09.01</t>
  </si>
  <si>
    <t>03.10.01</t>
  </si>
  <si>
    <t>03.11.01</t>
  </si>
  <si>
    <t>elementi za vgradnjo merilne opreme</t>
  </si>
  <si>
    <t>03.12.01</t>
  </si>
  <si>
    <t>04</t>
  </si>
  <si>
    <t>kompresorska postaja</t>
  </si>
  <si>
    <t>04.01.01</t>
  </si>
  <si>
    <t>puhalo</t>
  </si>
  <si>
    <t>04.02.01</t>
  </si>
  <si>
    <t>klimatska naprava kompresorske postaje</t>
  </si>
  <si>
    <t>04.03.01</t>
  </si>
  <si>
    <t xml:space="preserve">tlačni cevovod stisnjenega zraka </t>
  </si>
  <si>
    <t>04.03.02</t>
  </si>
  <si>
    <t>izolacija cevovoda stisnjenega zraka</t>
  </si>
  <si>
    <t>04.04.01</t>
  </si>
  <si>
    <t>04.05.00</t>
  </si>
  <si>
    <t>05</t>
  </si>
  <si>
    <t>upravni prostori</t>
  </si>
  <si>
    <t>05.01.01</t>
  </si>
  <si>
    <t>klimatska naprava upravnega prostora</t>
  </si>
  <si>
    <t>06</t>
  </si>
  <si>
    <t>razno</t>
  </si>
  <si>
    <t>06.01.01</t>
  </si>
  <si>
    <t>preizkusi cevovodov</t>
  </si>
  <si>
    <t>06.02.01</t>
  </si>
  <si>
    <t>zagon in poskusno obratovanje</t>
  </si>
  <si>
    <t>06.03.01</t>
  </si>
  <si>
    <t>PID dokumentacija</t>
  </si>
  <si>
    <t>SKUPAJ</t>
  </si>
  <si>
    <t>A</t>
  </si>
  <si>
    <t>B</t>
  </si>
  <si>
    <t>C</t>
  </si>
  <si>
    <t>SKUPNA  REKAPITULACIJA  DEL</t>
  </si>
  <si>
    <t xml:space="preserve">GRADBENA DELA </t>
  </si>
  <si>
    <t xml:space="preserve">B </t>
  </si>
  <si>
    <t>ELEKTRO DELA</t>
  </si>
  <si>
    <t xml:space="preserve">C </t>
  </si>
  <si>
    <t xml:space="preserve">VSA DELA SKUPAJ </t>
  </si>
  <si>
    <t xml:space="preserve">SKUPAJ S POPUSTOM </t>
  </si>
  <si>
    <t xml:space="preserve">SKUPAJ  z DDV </t>
  </si>
  <si>
    <t>Opomba:</t>
  </si>
  <si>
    <t>Vse cene so brez DDV (obrnjena davčna obveznost - 76.a člen ZDDV-1)</t>
  </si>
  <si>
    <t>STROJNA OPREMA</t>
  </si>
  <si>
    <t>REKAPITULACIJA STROJNA OPREMA</t>
  </si>
  <si>
    <t>* opis tehnične izvedbe na listih 05.4/61 do 05.14/61</t>
  </si>
  <si>
    <t>* legenda pozicij na listih 05.15/61 do 05.16/61</t>
  </si>
  <si>
    <t>* specifikacija opreme na listih 05.17/61 do 05.60/61</t>
  </si>
  <si>
    <t>OPOMBA: Natančni popisi del za posamezne postavke so razvidni iz projekta PZI, načrt strojnih instalacij in strojne opreme, ki je sestavni del razpisne dokumentacije :</t>
  </si>
  <si>
    <t>drobna oprema 5% (postavke 03.01.01- 03.12.01)</t>
  </si>
  <si>
    <t>drobna oprema 5% (postavke 04.01.01- 04.04.01)</t>
  </si>
  <si>
    <t>drobna oprema 5% (postavke 02.01.01- 02.07.01)</t>
  </si>
  <si>
    <t>drobna oprema 5% (postavke 01.01.01- 01.09.01)</t>
  </si>
  <si>
    <t>Količina</t>
  </si>
  <si>
    <t>Opis postavke</t>
  </si>
  <si>
    <t>em</t>
  </si>
  <si>
    <t>MKČN VRANSKO - II.FAZA</t>
  </si>
  <si>
    <t xml:space="preserve">STROJNE INSTALACIJE IN OPREMA </t>
  </si>
  <si>
    <t xml:space="preserve">ELEKTRO INSTALACIJE IN OPREMA </t>
  </si>
  <si>
    <t>GRADBENA DELA BLOK 2</t>
  </si>
  <si>
    <t>Upoštevana so pri popisu del zunanje ureditve</t>
  </si>
  <si>
    <t>Dobava in vgrajevanje podložnega betona C12/15, XC2. Prerez konstrukcije do 0.10 m3/m2.</t>
  </si>
  <si>
    <t>Vgrajevanje v konstrukcije preseka nad 0,30 m3/m2</t>
  </si>
  <si>
    <t>GRADBENA DELA MAŠČOBNIK</t>
  </si>
  <si>
    <t>Vgrajevanje v konstrukcije preseka nad 0,25 m3/m2</t>
  </si>
  <si>
    <t>Priprava in organizacija gradbišča. Zajeta morajo biti vsa organizacijska, logistična, transportna, montažna in ostala dela, ki so potrebna za pripravo popolno obratujočega gradbišča, vključno s priklopom na potrebne komunalne priključke. Čiščenje planuma gradbene parcele vsega rastlinja in odvoz le tega na deponijo, ki jo zagotovi izvajalec del.</t>
  </si>
  <si>
    <t>Strojno planiranje dna gradbene jame s točnostjo +/- 3cm in strojno utrjevanje dna gradbene jame.</t>
  </si>
  <si>
    <t>-ostali izkopani material</t>
  </si>
  <si>
    <t>Dobava in vgraditev pohodnih dvoslojnih betonskih plošč dimenzije 50x50x5 cm po SIST EN 1339, na utrjeno podlago (tampon 0-32mm, d=30cm).</t>
  </si>
  <si>
    <t>Demontaža obstoječe ograje na severnem delu, ter odvoz k registriranemu zbiralcu tovrstnih odpadkov vključno s plačilom vseh potrebnih okoljskih dajatev.</t>
  </si>
  <si>
    <t>DDV 22 %</t>
  </si>
  <si>
    <t>popust  v   %</t>
  </si>
  <si>
    <t>znesek popusta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</si>
</sst>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_-* #,##0\ &quot;SIT&quot;_-;\-* #,##0\ &quot;SIT&quot;_-;_-* &quot;-&quot;\ &quot;SIT&quot;_-;_-@_-"/>
    <numFmt numFmtId="165" formatCode="_-* #,##0.00\ &quot;SIT&quot;_-;\-* #,##0.00\ &quot;SIT&quot;_-;_-* &quot;-&quot;??\ &quot;SIT&quot;_-;_-@_-"/>
    <numFmt numFmtId="166" formatCode="_(* #,##0.00_);_(* \(#,##0.00\);_(* &quot;-&quot;??_);_(@_)"/>
    <numFmt numFmtId="167" formatCode="#,##0.0"/>
    <numFmt numFmtId="168" formatCode="_-* #,##0\ &quot;SIT&quot;_-;\-* #,##0\ &quot;SIT&quot;_-;_-* &quot;-&quot;??\ &quot;SIT&quot;_-;_-@_-"/>
    <numFmt numFmtId="169" formatCode="0&quot;./&quot;"/>
    <numFmt numFmtId="170" formatCode="_-* #,##0.00\ _S_I_T_-;\-* #,##0.00\ _S_I_T_-;_-* &quot;-&quot;??\ _S_I_T_-;_-@_-"/>
    <numFmt numFmtId="171" formatCode="#,##0.00_ ;\-#,##0.00\ "/>
    <numFmt numFmtId="172" formatCode="0.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1"/>
      <color indexed="8"/>
      <name val="Arial CE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9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name val="Arial"/>
      <family val="2"/>
      <charset val="1"/>
    </font>
    <font>
      <b/>
      <i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 Narrow"/>
      <family val="2"/>
      <charset val="238"/>
    </font>
    <font>
      <sz val="12"/>
      <color indexed="18"/>
      <name val="Arial Narrow"/>
      <family val="2"/>
      <charset val="238"/>
    </font>
    <font>
      <b/>
      <sz val="11"/>
      <color indexed="8"/>
      <name val="Arial CE"/>
      <charset val="238"/>
    </font>
    <font>
      <b/>
      <i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0"/>
      <name val="Arial CE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Fill="0" applyBorder="0"/>
    <xf numFmtId="0" fontId="4" fillId="0" borderId="0" applyFill="0" applyBorder="0"/>
    <xf numFmtId="166" fontId="2" fillId="0" borderId="0" applyFont="0" applyFill="0" applyBorder="0" applyAlignment="0" applyProtection="0"/>
    <xf numFmtId="0" fontId="2" fillId="0" borderId="0" applyFill="0" applyBorder="0"/>
    <xf numFmtId="170" fontId="2" fillId="0" borderId="0" applyFont="0" applyFill="0" applyBorder="0" applyAlignment="0" applyProtection="0"/>
  </cellStyleXfs>
  <cellXfs count="415">
    <xf numFmtId="0" fontId="0" fillId="0" borderId="0" xfId="0"/>
    <xf numFmtId="1" fontId="31" fillId="0" borderId="6" xfId="0" applyNumberFormat="1" applyFont="1" applyBorder="1" applyAlignment="1" applyProtection="1">
      <alignment horizontal="right"/>
    </xf>
    <xf numFmtId="0" fontId="6" fillId="0" borderId="0" xfId="7" applyFont="1" applyAlignment="1">
      <alignment horizontal="right" vertical="top" wrapText="1"/>
    </xf>
    <xf numFmtId="0" fontId="6" fillId="0" borderId="0" xfId="7" applyFont="1" applyAlignment="1">
      <alignment horizontal="right" wrapText="1"/>
    </xf>
    <xf numFmtId="0" fontId="6" fillId="0" borderId="1" xfId="7" applyFont="1" applyBorder="1" applyAlignment="1">
      <alignment horizontal="right" wrapText="1"/>
    </xf>
    <xf numFmtId="0" fontId="8" fillId="0" borderId="1" xfId="7" applyFont="1" applyBorder="1" applyAlignment="1">
      <alignment horizontal="right" vertical="top" wrapText="1"/>
    </xf>
    <xf numFmtId="0" fontId="7" fillId="0" borderId="1" xfId="7" applyFont="1" applyBorder="1" applyAlignment="1">
      <alignment horizontal="right" wrapText="1"/>
    </xf>
    <xf numFmtId="167" fontId="6" fillId="0" borderId="0" xfId="7" applyNumberFormat="1" applyFont="1" applyAlignment="1">
      <alignment horizontal="right"/>
    </xf>
    <xf numFmtId="167" fontId="6" fillId="0" borderId="1" xfId="7" applyNumberFormat="1" applyFont="1" applyBorder="1" applyAlignment="1">
      <alignment horizontal="right"/>
    </xf>
    <xf numFmtId="0" fontId="5" fillId="0" borderId="0" xfId="8" applyFont="1"/>
    <xf numFmtId="0" fontId="5" fillId="0" borderId="0" xfId="8" applyFont="1" applyAlignment="1">
      <alignment horizontal="right"/>
    </xf>
    <xf numFmtId="0" fontId="10" fillId="0" borderId="0" xfId="8" applyFont="1" applyAlignment="1">
      <alignment horizontal="right"/>
    </xf>
    <xf numFmtId="0" fontId="5" fillId="0" borderId="0" xfId="7" applyFont="1" applyAlignment="1">
      <alignment horizontal="right"/>
    </xf>
    <xf numFmtId="3" fontId="6" fillId="0" borderId="1" xfId="7" applyNumberFormat="1" applyFont="1" applyBorder="1" applyAlignment="1">
      <alignment horizontal="right"/>
    </xf>
    <xf numFmtId="3" fontId="6" fillId="0" borderId="0" xfId="7" applyNumberFormat="1" applyFont="1" applyAlignment="1">
      <alignment horizontal="right"/>
    </xf>
    <xf numFmtId="0" fontId="11" fillId="0" borderId="0" xfId="0" applyFont="1"/>
    <xf numFmtId="167" fontId="6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10" fillId="0" borderId="0" xfId="8" applyFont="1" applyFill="1" applyAlignment="1" applyProtection="1">
      <alignment horizontal="right"/>
    </xf>
    <xf numFmtId="0" fontId="10" fillId="0" borderId="0" xfId="8" applyFont="1" applyFill="1" applyBorder="1"/>
    <xf numFmtId="168" fontId="10" fillId="0" borderId="0" xfId="8" applyNumberFormat="1" applyFont="1" applyFill="1" applyBorder="1" applyProtection="1"/>
    <xf numFmtId="0" fontId="6" fillId="0" borderId="0" xfId="7" applyNumberFormat="1" applyFont="1" applyBorder="1" applyAlignment="1">
      <alignment horizontal="right" vertical="top" wrapText="1"/>
    </xf>
    <xf numFmtId="0" fontId="6" fillId="0" borderId="0" xfId="7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wrapText="1"/>
    </xf>
    <xf numFmtId="3" fontId="6" fillId="0" borderId="0" xfId="0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0" fontId="7" fillId="0" borderId="2" xfId="0" applyFont="1" applyBorder="1" applyAlignment="1">
      <alignment horizontal="right" vertical="top" wrapText="1"/>
    </xf>
    <xf numFmtId="0" fontId="18" fillId="0" borderId="0" xfId="7" applyFont="1" applyAlignment="1">
      <alignment horizontal="justify" vertical="top"/>
    </xf>
    <xf numFmtId="169" fontId="6" fillId="0" borderId="0" xfId="7" applyNumberFormat="1" applyFont="1" applyAlignment="1">
      <alignment horizontal="left" vertical="top" wrapText="1"/>
    </xf>
    <xf numFmtId="0" fontId="6" fillId="0" borderId="1" xfId="7" applyFont="1" applyBorder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6" fillId="0" borderId="0" xfId="10" applyNumberFormat="1" applyFont="1" applyBorder="1" applyAlignment="1">
      <alignment horizontal="right" vertical="top" wrapText="1"/>
    </xf>
    <xf numFmtId="0" fontId="6" fillId="0" borderId="0" xfId="10" applyFont="1" applyBorder="1" applyAlignment="1">
      <alignment horizontal="right" wrapText="1"/>
    </xf>
    <xf numFmtId="4" fontId="6" fillId="0" borderId="0" xfId="0" applyNumberFormat="1" applyFont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6" fillId="0" borderId="1" xfId="7" applyNumberFormat="1" applyFont="1" applyBorder="1" applyAlignment="1">
      <alignment horizontal="right"/>
    </xf>
    <xf numFmtId="4" fontId="6" fillId="0" borderId="0" xfId="7" applyNumberFormat="1" applyFont="1" applyBorder="1" applyAlignment="1">
      <alignment horizontal="right" vertical="top"/>
    </xf>
    <xf numFmtId="4" fontId="8" fillId="0" borderId="0" xfId="0" applyNumberFormat="1" applyFont="1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6" fillId="0" borderId="0" xfId="7" applyNumberFormat="1" applyFont="1" applyAlignment="1">
      <alignment horizontal="right"/>
    </xf>
    <xf numFmtId="4" fontId="6" fillId="0" borderId="0" xfId="7" applyNumberFormat="1" applyFont="1" applyAlignment="1">
      <alignment horizontal="right" vertical="top"/>
    </xf>
    <xf numFmtId="4" fontId="6" fillId="0" borderId="1" xfId="0" applyNumberFormat="1" applyFont="1" applyBorder="1" applyAlignment="1">
      <alignment horizontal="right"/>
    </xf>
    <xf numFmtId="4" fontId="6" fillId="0" borderId="0" xfId="7" applyNumberFormat="1" applyFont="1" applyFill="1" applyBorder="1" applyAlignment="1">
      <alignment horizontal="right" vertical="justify" wrapText="1"/>
    </xf>
    <xf numFmtId="4" fontId="5" fillId="0" borderId="1" xfId="6" applyNumberFormat="1" applyFont="1" applyBorder="1"/>
    <xf numFmtId="4" fontId="20" fillId="0" borderId="3" xfId="6" applyNumberFormat="1" applyFont="1" applyBorder="1"/>
    <xf numFmtId="4" fontId="18" fillId="0" borderId="0" xfId="7" applyNumberFormat="1" applyFont="1" applyAlignment="1">
      <alignment vertical="top"/>
    </xf>
    <xf numFmtId="4" fontId="18" fillId="0" borderId="0" xfId="7" applyNumberFormat="1" applyFont="1" applyAlignment="1">
      <alignment horizontal="right" vertical="top"/>
    </xf>
    <xf numFmtId="4" fontId="6" fillId="0" borderId="0" xfId="7" applyNumberFormat="1" applyFont="1" applyFill="1" applyAlignment="1">
      <alignment horizontal="right"/>
    </xf>
    <xf numFmtId="4" fontId="6" fillId="0" borderId="0" xfId="7" quotePrefix="1" applyNumberFormat="1" applyFont="1" applyAlignment="1">
      <alignment horizontal="right" wrapText="1"/>
    </xf>
    <xf numFmtId="4" fontId="6" fillId="0" borderId="0" xfId="7" quotePrefix="1" applyNumberFormat="1" applyFont="1" applyFill="1" applyAlignment="1">
      <alignment horizontal="right" wrapText="1"/>
    </xf>
    <xf numFmtId="4" fontId="8" fillId="0" borderId="0" xfId="7" applyNumberFormat="1" applyFont="1" applyAlignment="1">
      <alignment horizontal="right" vertical="justify" wrapText="1"/>
    </xf>
    <xf numFmtId="4" fontId="6" fillId="0" borderId="0" xfId="7" applyNumberFormat="1" applyFont="1" applyAlignment="1">
      <alignment horizontal="right" vertical="justify" wrapText="1"/>
    </xf>
    <xf numFmtId="4" fontId="7" fillId="0" borderId="0" xfId="0" applyNumberFormat="1" applyFont="1" applyAlignment="1">
      <alignment horizontal="right"/>
    </xf>
    <xf numFmtId="4" fontId="5" fillId="0" borderId="0" xfId="6" applyNumberFormat="1" applyFont="1"/>
    <xf numFmtId="4" fontId="10" fillId="0" borderId="0" xfId="6" applyNumberFormat="1" applyFont="1"/>
    <xf numFmtId="4" fontId="10" fillId="0" borderId="1" xfId="6" applyNumberFormat="1" applyFont="1" applyBorder="1"/>
    <xf numFmtId="4" fontId="20" fillId="0" borderId="0" xfId="6" applyNumberFormat="1" applyFont="1"/>
    <xf numFmtId="4" fontId="28" fillId="2" borderId="5" xfId="0" applyNumberFormat="1" applyFont="1" applyFill="1" applyBorder="1" applyAlignment="1" applyProtection="1">
      <alignment horizontal="center" vertical="top" wrapText="1"/>
    </xf>
    <xf numFmtId="4" fontId="31" fillId="0" borderId="5" xfId="0" applyNumberFormat="1" applyFont="1" applyBorder="1" applyAlignment="1" applyProtection="1">
      <protection locked="0"/>
    </xf>
    <xf numFmtId="4" fontId="31" fillId="0" borderId="5" xfId="0" applyNumberFormat="1" applyFont="1" applyBorder="1" applyAlignment="1" applyProtection="1"/>
    <xf numFmtId="4" fontId="31" fillId="0" borderId="0" xfId="0" applyNumberFormat="1" applyFont="1" applyBorder="1" applyAlignment="1" applyProtection="1"/>
    <xf numFmtId="4" fontId="32" fillId="0" borderId="5" xfId="0" applyNumberFormat="1" applyFont="1" applyBorder="1" applyAlignment="1" applyProtection="1"/>
    <xf numFmtId="3" fontId="31" fillId="0" borderId="0" xfId="0" applyNumberFormat="1" applyFont="1" applyBorder="1" applyAlignment="1" applyProtection="1"/>
    <xf numFmtId="4" fontId="32" fillId="0" borderId="0" xfId="0" applyNumberFormat="1" applyFont="1" applyBorder="1" applyAlignment="1" applyProtection="1"/>
    <xf numFmtId="0" fontId="40" fillId="0" borderId="0" xfId="0" applyFont="1" applyProtection="1"/>
    <xf numFmtId="0" fontId="41" fillId="0" borderId="0" xfId="0" applyFont="1" applyProtection="1"/>
    <xf numFmtId="0" fontId="40" fillId="0" borderId="0" xfId="0" applyFont="1" applyAlignment="1" applyProtection="1">
      <alignment horizontal="right"/>
    </xf>
    <xf numFmtId="39" fontId="40" fillId="0" borderId="0" xfId="0" applyNumberFormat="1" applyFont="1" applyAlignment="1" applyProtection="1">
      <alignment horizontal="right" vertical="center"/>
    </xf>
    <xf numFmtId="0" fontId="40" fillId="0" borderId="0" xfId="0" applyFont="1" applyBorder="1" applyAlignment="1" applyProtection="1">
      <alignment horizontal="right"/>
    </xf>
    <xf numFmtId="39" fontId="40" fillId="0" borderId="0" xfId="0" applyNumberFormat="1" applyFont="1" applyBorder="1" applyAlignment="1" applyProtection="1">
      <alignment horizontal="right" vertical="center"/>
    </xf>
    <xf numFmtId="0" fontId="4" fillId="0" borderId="0" xfId="3" applyFont="1" applyProtection="1"/>
    <xf numFmtId="0" fontId="12" fillId="0" borderId="0" xfId="3" applyFont="1" applyProtection="1"/>
    <xf numFmtId="1" fontId="4" fillId="0" borderId="0" xfId="3" applyNumberFormat="1" applyFont="1" applyProtection="1"/>
    <xf numFmtId="0" fontId="11" fillId="0" borderId="0" xfId="0" applyFont="1" applyProtection="1"/>
    <xf numFmtId="0" fontId="4" fillId="0" borderId="0" xfId="3" applyFont="1" applyAlignment="1" applyProtection="1">
      <alignment horizontal="right"/>
    </xf>
    <xf numFmtId="0" fontId="13" fillId="0" borderId="0" xfId="8" applyFont="1" applyAlignment="1" applyProtection="1">
      <alignment horizontal="right"/>
    </xf>
    <xf numFmtId="0" fontId="36" fillId="0" borderId="0" xfId="7" applyFont="1" applyAlignment="1" applyProtection="1">
      <alignment horizontal="center"/>
    </xf>
    <xf numFmtId="0" fontId="35" fillId="0" borderId="0" xfId="8" applyFont="1" applyProtection="1"/>
    <xf numFmtId="1" fontId="37" fillId="0" borderId="0" xfId="3" applyNumberFormat="1" applyFont="1" applyProtection="1"/>
    <xf numFmtId="0" fontId="36" fillId="0" borderId="0" xfId="3" applyFont="1" applyAlignment="1" applyProtection="1">
      <alignment horizontal="center"/>
    </xf>
    <xf numFmtId="0" fontId="37" fillId="0" borderId="0" xfId="7" applyFont="1" applyProtection="1"/>
    <xf numFmtId="0" fontId="38" fillId="0" borderId="0" xfId="8" applyFont="1" applyProtection="1"/>
    <xf numFmtId="4" fontId="37" fillId="0" borderId="0" xfId="6" applyNumberFormat="1" applyFont="1" applyBorder="1" applyProtection="1"/>
    <xf numFmtId="0" fontId="39" fillId="0" borderId="0" xfId="0" applyFont="1" applyAlignment="1" applyProtection="1">
      <alignment horizontal="center"/>
    </xf>
    <xf numFmtId="4" fontId="37" fillId="0" borderId="0" xfId="6" applyNumberFormat="1" applyFont="1" applyProtection="1"/>
    <xf numFmtId="0" fontId="38" fillId="0" borderId="4" xfId="8" applyFont="1" applyBorder="1" applyProtection="1"/>
    <xf numFmtId="4" fontId="36" fillId="0" borderId="4" xfId="6" applyNumberFormat="1" applyFont="1" applyBorder="1" applyProtection="1"/>
    <xf numFmtId="0" fontId="38" fillId="0" borderId="0" xfId="8" applyFont="1" applyBorder="1" applyProtection="1"/>
    <xf numFmtId="4" fontId="36" fillId="0" borderId="0" xfId="6" applyNumberFormat="1" applyFont="1" applyBorder="1" applyProtection="1"/>
    <xf numFmtId="0" fontId="33" fillId="0" borderId="0" xfId="0" applyFont="1" applyAlignment="1" applyProtection="1">
      <alignment horizontal="center"/>
    </xf>
    <xf numFmtId="0" fontId="13" fillId="0" borderId="0" xfId="8" applyFont="1" applyBorder="1" applyProtection="1"/>
    <xf numFmtId="4" fontId="21" fillId="0" borderId="0" xfId="6" applyNumberFormat="1" applyFont="1" applyBorder="1" applyProtection="1"/>
    <xf numFmtId="0" fontId="35" fillId="0" borderId="0" xfId="8" applyFont="1" applyBorder="1" applyProtection="1"/>
    <xf numFmtId="0" fontId="33" fillId="0" borderId="0" xfId="0" applyFont="1" applyProtection="1"/>
    <xf numFmtId="0" fontId="34" fillId="0" borderId="4" xfId="8" applyFont="1" applyBorder="1" applyProtection="1"/>
    <xf numFmtId="4" fontId="21" fillId="0" borderId="4" xfId="6" applyNumberFormat="1" applyFont="1" applyBorder="1" applyProtection="1"/>
    <xf numFmtId="0" fontId="34" fillId="0" borderId="8" xfId="8" applyFont="1" applyBorder="1" applyProtection="1"/>
    <xf numFmtId="4" fontId="21" fillId="0" borderId="9" xfId="6" applyNumberFormat="1" applyFont="1" applyBorder="1" applyProtection="1"/>
    <xf numFmtId="0" fontId="34" fillId="0" borderId="6" xfId="8" applyFont="1" applyBorder="1" applyProtection="1"/>
    <xf numFmtId="4" fontId="21" fillId="0" borderId="7" xfId="6" applyNumberFormat="1" applyFont="1" applyBorder="1" applyProtection="1"/>
    <xf numFmtId="0" fontId="34" fillId="0" borderId="0" xfId="8" applyFont="1" applyBorder="1" applyProtection="1"/>
    <xf numFmtId="0" fontId="13" fillId="0" borderId="0" xfId="8" applyFont="1" applyProtection="1"/>
    <xf numFmtId="1" fontId="12" fillId="0" borderId="0" xfId="8" applyNumberFormat="1" applyFont="1" applyProtection="1"/>
    <xf numFmtId="1" fontId="11" fillId="0" borderId="0" xfId="0" applyNumberFormat="1" applyFont="1" applyProtection="1"/>
    <xf numFmtId="0" fontId="12" fillId="0" borderId="0" xfId="7" applyFont="1" applyAlignment="1" applyProtection="1">
      <alignment horizontal="right"/>
    </xf>
    <xf numFmtId="0" fontId="14" fillId="0" borderId="0" xfId="8" applyFont="1" applyProtection="1"/>
    <xf numFmtId="0" fontId="12" fillId="0" borderId="0" xfId="7" applyFont="1" applyProtection="1"/>
    <xf numFmtId="168" fontId="12" fillId="0" borderId="0" xfId="3" applyNumberFormat="1" applyFont="1" applyProtection="1"/>
    <xf numFmtId="4" fontId="12" fillId="0" borderId="0" xfId="6" applyNumberFormat="1" applyFont="1" applyProtection="1"/>
    <xf numFmtId="0" fontId="13" fillId="0" borderId="1" xfId="8" applyFont="1" applyBorder="1" applyProtection="1"/>
    <xf numFmtId="4" fontId="12" fillId="0" borderId="1" xfId="6" applyNumberFormat="1" applyFont="1" applyBorder="1" applyProtection="1"/>
    <xf numFmtId="0" fontId="42" fillId="0" borderId="0" xfId="8" applyFont="1" applyFill="1" applyBorder="1" applyProtection="1"/>
    <xf numFmtId="4" fontId="20" fillId="0" borderId="0" xfId="6" applyNumberFormat="1" applyFont="1" applyBorder="1" applyProtection="1"/>
    <xf numFmtId="0" fontId="13" fillId="0" borderId="3" xfId="8" applyFont="1" applyBorder="1" applyProtection="1"/>
    <xf numFmtId="4" fontId="21" fillId="0" borderId="3" xfId="6" applyNumberFormat="1" applyFont="1" applyBorder="1" applyProtection="1"/>
    <xf numFmtId="168" fontId="12" fillId="0" borderId="0" xfId="8" applyNumberFormat="1" applyFont="1" applyProtection="1"/>
    <xf numFmtId="0" fontId="16" fillId="0" borderId="1" xfId="7" applyFont="1" applyBorder="1" applyAlignment="1" applyProtection="1">
      <alignment horizontal="right" vertical="top" wrapText="1"/>
    </xf>
    <xf numFmtId="49" fontId="15" fillId="0" borderId="1" xfId="7" applyNumberFormat="1" applyFont="1" applyBorder="1" applyAlignment="1" applyProtection="1">
      <alignment horizontal="left"/>
    </xf>
    <xf numFmtId="0" fontId="15" fillId="0" borderId="1" xfId="7" applyFont="1" applyBorder="1" applyAlignment="1" applyProtection="1">
      <alignment horizontal="right" wrapText="1"/>
    </xf>
    <xf numFmtId="4" fontId="4" fillId="0" borderId="1" xfId="7" applyNumberFormat="1" applyFont="1" applyBorder="1" applyAlignment="1" applyProtection="1">
      <alignment horizontal="right"/>
    </xf>
    <xf numFmtId="0" fontId="4" fillId="0" borderId="0" xfId="7" applyFont="1" applyAlignment="1" applyProtection="1">
      <alignment horizontal="right" vertical="top" wrapText="1"/>
    </xf>
    <xf numFmtId="0" fontId="4" fillId="0" borderId="0" xfId="7" applyFont="1" applyAlignment="1" applyProtection="1">
      <alignment horizontal="justify" vertical="top"/>
    </xf>
    <xf numFmtId="0" fontId="4" fillId="0" borderId="0" xfId="7" applyFont="1" applyAlignment="1" applyProtection="1">
      <alignment horizontal="right" wrapText="1"/>
    </xf>
    <xf numFmtId="4" fontId="4" fillId="0" borderId="0" xfId="0" applyNumberFormat="1" applyFont="1" applyAlignment="1" applyProtection="1">
      <alignment horizontal="right"/>
    </xf>
    <xf numFmtId="4" fontId="4" fillId="0" borderId="0" xfId="7" applyNumberFormat="1" applyFont="1" applyAlignment="1" applyProtection="1">
      <alignment horizontal="right"/>
    </xf>
    <xf numFmtId="4" fontId="4" fillId="0" borderId="0" xfId="4" applyNumberFormat="1" applyFont="1" applyAlignment="1" applyProtection="1">
      <alignment horizontal="right"/>
    </xf>
    <xf numFmtId="4" fontId="4" fillId="0" borderId="0" xfId="7" applyNumberFormat="1" applyFont="1" applyBorder="1" applyAlignment="1" applyProtection="1">
      <alignment horizontal="right"/>
    </xf>
    <xf numFmtId="0" fontId="4" fillId="0" borderId="0" xfId="7" applyFont="1" applyAlignment="1" applyProtection="1">
      <alignment horizontal="justify" vertical="top" wrapText="1"/>
    </xf>
    <xf numFmtId="0" fontId="4" fillId="0" borderId="0" xfId="7" quotePrefix="1" applyFont="1" applyAlignment="1" applyProtection="1">
      <alignment horizontal="justify" vertical="top" wrapText="1"/>
    </xf>
    <xf numFmtId="167" fontId="6" fillId="0" borderId="0" xfId="9" applyNumberFormat="1" applyFont="1" applyAlignment="1" applyProtection="1">
      <alignment horizontal="right"/>
    </xf>
    <xf numFmtId="0" fontId="4" fillId="0" borderId="0" xfId="7" quotePrefix="1" applyFont="1" applyAlignment="1" applyProtection="1">
      <alignment horizontal="justify" vertical="top"/>
    </xf>
    <xf numFmtId="4" fontId="4" fillId="0" borderId="0" xfId="7" applyNumberFormat="1" applyFont="1" applyAlignment="1" applyProtection="1">
      <alignment horizontal="right" wrapText="1"/>
    </xf>
    <xf numFmtId="0" fontId="2" fillId="0" borderId="0" xfId="7" quotePrefix="1" applyFont="1" applyAlignment="1" applyProtection="1">
      <alignment horizontal="justify" vertical="top"/>
    </xf>
    <xf numFmtId="0" fontId="2" fillId="0" borderId="0" xfId="7" applyFont="1" applyAlignment="1" applyProtection="1">
      <alignment horizontal="right" vertical="top" wrapText="1"/>
    </xf>
    <xf numFmtId="0" fontId="2" fillId="0" borderId="0" xfId="7" applyFont="1" applyAlignment="1" applyProtection="1">
      <alignment horizontal="justify" vertical="top"/>
    </xf>
    <xf numFmtId="0" fontId="2" fillId="0" borderId="0" xfId="7" applyFont="1" applyAlignment="1" applyProtection="1">
      <alignment horizontal="justify" vertical="top" wrapText="1"/>
    </xf>
    <xf numFmtId="0" fontId="2" fillId="0" borderId="0" xfId="7" applyFont="1" applyAlignment="1" applyProtection="1">
      <alignment horizontal="right" wrapText="1"/>
    </xf>
    <xf numFmtId="4" fontId="2" fillId="0" borderId="0" xfId="0" applyNumberFormat="1" applyFont="1" applyAlignment="1" applyProtection="1">
      <alignment horizontal="right"/>
    </xf>
    <xf numFmtId="4" fontId="2" fillId="0" borderId="0" xfId="7" applyNumberFormat="1" applyFont="1" applyAlignment="1" applyProtection="1">
      <alignment horizontal="right"/>
    </xf>
    <xf numFmtId="0" fontId="15" fillId="0" borderId="2" xfId="1" applyFont="1" applyBorder="1" applyAlignment="1" applyProtection="1">
      <alignment horizontal="right" vertical="top" wrapText="1"/>
    </xf>
    <xf numFmtId="0" fontId="4" fillId="0" borderId="2" xfId="1" applyFont="1" applyBorder="1" applyAlignment="1" applyProtection="1">
      <alignment horizontal="right" wrapText="1"/>
    </xf>
    <xf numFmtId="4" fontId="15" fillId="0" borderId="2" xfId="1" applyNumberFormat="1" applyFont="1" applyBorder="1" applyAlignment="1" applyProtection="1">
      <alignment horizontal="right"/>
    </xf>
    <xf numFmtId="49" fontId="15" fillId="0" borderId="1" xfId="7" applyNumberFormat="1" applyFont="1" applyBorder="1" applyAlignment="1" applyProtection="1">
      <alignment horizontal="justify"/>
    </xf>
    <xf numFmtId="0" fontId="15" fillId="0" borderId="0" xfId="7" applyFont="1" applyAlignment="1" applyProtection="1">
      <alignment horizontal="justify" vertical="top"/>
    </xf>
    <xf numFmtId="0" fontId="6" fillId="0" borderId="0" xfId="10" applyFont="1" applyBorder="1" applyAlignment="1" applyProtection="1">
      <alignment horizontal="justify" vertical="top"/>
    </xf>
    <xf numFmtId="0" fontId="4" fillId="0" borderId="0" xfId="7" quotePrefix="1" applyFont="1" applyAlignment="1" applyProtection="1">
      <alignment horizontal="right" wrapText="1"/>
    </xf>
    <xf numFmtId="0" fontId="4" fillId="0" borderId="0" xfId="7" applyFont="1" applyAlignment="1" applyProtection="1">
      <alignment horizontal="left" vertical="top" wrapText="1"/>
    </xf>
    <xf numFmtId="0" fontId="6" fillId="0" borderId="0" xfId="10" applyNumberFormat="1" applyFont="1" applyBorder="1" applyAlignment="1" applyProtection="1">
      <alignment horizontal="right" vertical="top" wrapText="1"/>
    </xf>
    <xf numFmtId="0" fontId="6" fillId="0" borderId="0" xfId="10" applyFont="1" applyBorder="1" applyAlignment="1" applyProtection="1">
      <alignment horizontal="left" vertical="top" wrapText="1"/>
    </xf>
    <xf numFmtId="0" fontId="6" fillId="0" borderId="0" xfId="10" applyFont="1" applyBorder="1" applyAlignment="1" applyProtection="1">
      <alignment horizontal="right" wrapText="1"/>
    </xf>
    <xf numFmtId="4" fontId="6" fillId="0" borderId="0" xfId="10" applyNumberFormat="1" applyFont="1" applyBorder="1" applyAlignment="1" applyProtection="1">
      <alignment horizontal="right"/>
    </xf>
    <xf numFmtId="4" fontId="16" fillId="0" borderId="0" xfId="7" applyNumberFormat="1" applyFont="1" applyAlignment="1" applyProtection="1">
      <alignment horizontal="right"/>
    </xf>
    <xf numFmtId="2" fontId="4" fillId="0" borderId="0" xfId="0" applyNumberFormat="1" applyFont="1" applyAlignment="1" applyProtection="1">
      <alignment horizontal="right"/>
    </xf>
    <xf numFmtId="0" fontId="8" fillId="0" borderId="1" xfId="10" applyNumberFormat="1" applyFont="1" applyBorder="1" applyAlignment="1" applyProtection="1">
      <alignment horizontal="right" vertical="top" wrapText="1"/>
    </xf>
    <xf numFmtId="49" fontId="7" fillId="0" borderId="1" xfId="10" applyNumberFormat="1" applyFont="1" applyBorder="1" applyAlignment="1" applyProtection="1">
      <alignment horizontal="left"/>
    </xf>
    <xf numFmtId="0" fontId="7" fillId="0" borderId="1" xfId="10" applyFont="1" applyBorder="1" applyAlignment="1" applyProtection="1">
      <alignment horizontal="right" wrapText="1"/>
    </xf>
    <xf numFmtId="4" fontId="6" fillId="0" borderId="1" xfId="10" applyNumberFormat="1" applyFont="1" applyBorder="1" applyAlignment="1" applyProtection="1">
      <alignment horizontal="right"/>
    </xf>
    <xf numFmtId="2" fontId="6" fillId="0" borderId="0" xfId="10" applyNumberFormat="1" applyFont="1" applyBorder="1" applyAlignment="1" applyProtection="1">
      <alignment horizontal="right"/>
    </xf>
    <xf numFmtId="0" fontId="6" fillId="0" borderId="0" xfId="10" quotePrefix="1" applyFont="1" applyBorder="1" applyAlignment="1" applyProtection="1">
      <alignment horizontal="justify" vertical="top"/>
    </xf>
    <xf numFmtId="2" fontId="6" fillId="0" borderId="0" xfId="9" applyNumberFormat="1" applyFont="1" applyBorder="1" applyAlignment="1" applyProtection="1">
      <alignment horizontal="right"/>
    </xf>
    <xf numFmtId="4" fontId="6" fillId="0" borderId="0" xfId="9" applyNumberFormat="1" applyFont="1" applyBorder="1" applyAlignment="1" applyProtection="1">
      <alignment horizontal="right"/>
    </xf>
    <xf numFmtId="2" fontId="6" fillId="0" borderId="0" xfId="0" applyNumberFormat="1" applyFont="1" applyAlignment="1" applyProtection="1">
      <alignment horizontal="right"/>
    </xf>
    <xf numFmtId="4" fontId="6" fillId="0" borderId="0" xfId="0" applyNumberFormat="1" applyFont="1" applyAlignment="1" applyProtection="1">
      <alignment horizontal="right"/>
    </xf>
    <xf numFmtId="4" fontId="6" fillId="0" borderId="0" xfId="10" applyNumberFormat="1" applyFont="1" applyBorder="1" applyAlignment="1" applyProtection="1">
      <alignment horizontal="right" wrapText="1"/>
    </xf>
    <xf numFmtId="0" fontId="6" fillId="0" borderId="0" xfId="10" applyFont="1" applyFill="1" applyBorder="1" applyAlignment="1" applyProtection="1">
      <alignment horizontal="justify" vertical="top" wrapText="1"/>
    </xf>
    <xf numFmtId="0" fontId="6" fillId="0" borderId="0" xfId="10" applyNumberFormat="1" applyFont="1" applyAlignment="1" applyProtection="1">
      <alignment horizontal="right" vertical="top" wrapText="1"/>
    </xf>
    <xf numFmtId="0" fontId="6" fillId="0" borderId="0" xfId="10" applyFont="1" applyAlignment="1" applyProtection="1">
      <alignment horizontal="justify" vertical="top"/>
    </xf>
    <xf numFmtId="0" fontId="6" fillId="0" borderId="0" xfId="10" applyNumberFormat="1" applyFont="1" applyFill="1" applyBorder="1" applyAlignment="1" applyProtection="1">
      <alignment horizontal="right" vertical="top" wrapText="1"/>
    </xf>
    <xf numFmtId="0" fontId="6" fillId="0" borderId="0" xfId="10" applyFont="1" applyFill="1" applyBorder="1" applyAlignment="1" applyProtection="1">
      <alignment horizontal="justify" vertical="top"/>
    </xf>
    <xf numFmtId="0" fontId="6" fillId="0" borderId="0" xfId="10" applyFont="1" applyFill="1" applyBorder="1" applyAlignment="1" applyProtection="1">
      <alignment horizontal="right" wrapText="1"/>
    </xf>
    <xf numFmtId="0" fontId="7" fillId="0" borderId="2" xfId="1" applyNumberFormat="1" applyFont="1" applyBorder="1" applyAlignment="1" applyProtection="1">
      <alignment horizontal="right" vertical="top" wrapText="1"/>
    </xf>
    <xf numFmtId="0" fontId="6" fillId="0" borderId="2" xfId="1" applyFont="1" applyBorder="1" applyAlignment="1" applyProtection="1">
      <alignment horizontal="right" wrapText="1"/>
    </xf>
    <xf numFmtId="4" fontId="7" fillId="0" borderId="2" xfId="1" applyNumberFormat="1" applyFont="1" applyBorder="1" applyAlignment="1" applyProtection="1">
      <alignment horizontal="right"/>
    </xf>
    <xf numFmtId="4" fontId="4" fillId="0" borderId="1" xfId="7" applyNumberFormat="1" applyFont="1" applyBorder="1" applyAlignment="1" applyProtection="1">
      <alignment horizontal="right"/>
      <protection locked="0"/>
    </xf>
    <xf numFmtId="4" fontId="4" fillId="0" borderId="0" xfId="7" applyNumberFormat="1" applyFont="1" applyAlignment="1" applyProtection="1">
      <alignment horizontal="right"/>
      <protection locked="0"/>
    </xf>
    <xf numFmtId="4" fontId="4" fillId="0" borderId="0" xfId="7" applyNumberFormat="1" applyFont="1" applyBorder="1" applyAlignment="1" applyProtection="1">
      <alignment horizontal="right"/>
      <protection locked="0"/>
    </xf>
    <xf numFmtId="4" fontId="2" fillId="0" borderId="0" xfId="7" applyNumberFormat="1" applyFont="1" applyAlignment="1" applyProtection="1">
      <alignment horizontal="right"/>
      <protection locked="0"/>
    </xf>
    <xf numFmtId="4" fontId="15" fillId="0" borderId="2" xfId="1" applyNumberFormat="1" applyFont="1" applyBorder="1" applyAlignment="1" applyProtection="1">
      <alignment horizontal="right"/>
      <protection locked="0"/>
    </xf>
    <xf numFmtId="4" fontId="6" fillId="0" borderId="0" xfId="10" applyNumberFormat="1" applyFont="1" applyBorder="1" applyAlignment="1" applyProtection="1">
      <alignment horizontal="right"/>
      <protection locked="0"/>
    </xf>
    <xf numFmtId="4" fontId="6" fillId="0" borderId="0" xfId="10" applyNumberFormat="1" applyFont="1" applyFill="1" applyBorder="1" applyAlignment="1" applyProtection="1">
      <alignment horizontal="right"/>
      <protection locked="0"/>
    </xf>
    <xf numFmtId="4" fontId="16" fillId="0" borderId="0" xfId="7" applyNumberFormat="1" applyFont="1" applyAlignment="1" applyProtection="1">
      <alignment horizontal="right"/>
      <protection locked="0"/>
    </xf>
    <xf numFmtId="4" fontId="6" fillId="0" borderId="1" xfId="10" applyNumberFormat="1" applyFont="1" applyBorder="1" applyAlignment="1" applyProtection="1">
      <alignment horizontal="right"/>
      <protection locked="0"/>
    </xf>
    <xf numFmtId="4" fontId="19" fillId="0" borderId="0" xfId="10" applyNumberFormat="1" applyFont="1" applyBorder="1" applyAlignment="1" applyProtection="1">
      <alignment horizontal="right"/>
      <protection locked="0"/>
    </xf>
    <xf numFmtId="4" fontId="7" fillId="0" borderId="2" xfId="1" applyNumberFormat="1" applyFont="1" applyBorder="1" applyAlignment="1" applyProtection="1">
      <alignment horizontal="right"/>
      <protection locked="0"/>
    </xf>
    <xf numFmtId="0" fontId="5" fillId="0" borderId="0" xfId="8" applyFont="1" applyAlignment="1" applyProtection="1">
      <alignment horizontal="right"/>
    </xf>
    <xf numFmtId="0" fontId="5" fillId="0" borderId="0" xfId="0" applyFont="1" applyProtection="1"/>
    <xf numFmtId="0" fontId="5" fillId="0" borderId="0" xfId="8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0" fontId="5" fillId="0" borderId="0" xfId="7" applyFont="1" applyAlignment="1" applyProtection="1">
      <alignment horizontal="right"/>
    </xf>
    <xf numFmtId="0" fontId="10" fillId="0" borderId="0" xfId="8" applyFont="1" applyFill="1" applyBorder="1" applyProtection="1"/>
    <xf numFmtId="3" fontId="6" fillId="0" borderId="1" xfId="7" applyNumberFormat="1" applyFont="1" applyBorder="1" applyAlignment="1" applyProtection="1">
      <alignment horizontal="right"/>
      <protection locked="0"/>
    </xf>
    <xf numFmtId="4" fontId="6" fillId="0" borderId="0" xfId="7" applyNumberFormat="1" applyFont="1" applyBorder="1" applyAlignment="1" applyProtection="1">
      <alignment horizontal="right"/>
      <protection locked="0"/>
    </xf>
    <xf numFmtId="4" fontId="7" fillId="0" borderId="2" xfId="0" applyNumberFormat="1" applyFont="1" applyBorder="1" applyAlignment="1" applyProtection="1">
      <alignment horizontal="right"/>
      <protection locked="0"/>
    </xf>
    <xf numFmtId="4" fontId="6" fillId="0" borderId="1" xfId="7" applyNumberFormat="1" applyFont="1" applyBorder="1" applyAlignment="1" applyProtection="1">
      <alignment horizontal="right"/>
      <protection locked="0"/>
    </xf>
    <xf numFmtId="4" fontId="6" fillId="0" borderId="0" xfId="7" applyNumberFormat="1" applyFont="1" applyAlignment="1" applyProtection="1">
      <alignment horizontal="right"/>
      <protection locked="0"/>
    </xf>
    <xf numFmtId="3" fontId="6" fillId="0" borderId="0" xfId="7" applyNumberFormat="1" applyFont="1" applyAlignment="1" applyProtection="1">
      <alignment horizontal="righ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4" fontId="6" fillId="0" borderId="0" xfId="2" applyNumberFormat="1" applyFont="1" applyAlignment="1" applyProtection="1">
      <alignment horizontal="right"/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0" fillId="0" borderId="0" xfId="0" applyProtection="1"/>
    <xf numFmtId="0" fontId="22" fillId="0" borderId="0" xfId="0" applyFont="1" applyAlignment="1" applyProtection="1">
      <alignment vertical="top"/>
    </xf>
    <xf numFmtId="0" fontId="22" fillId="0" borderId="0" xfId="0" applyFont="1" applyProtection="1"/>
    <xf numFmtId="0" fontId="22" fillId="0" borderId="0" xfId="0" applyFont="1" applyFill="1" applyProtection="1"/>
    <xf numFmtId="0" fontId="23" fillId="0" borderId="0" xfId="0" applyFont="1" applyAlignment="1" applyProtection="1">
      <alignment horizontal="center" vertical="top"/>
    </xf>
    <xf numFmtId="171" fontId="22" fillId="0" borderId="0" xfId="0" applyNumberFormat="1" applyFont="1" applyFill="1" applyProtection="1"/>
    <xf numFmtId="172" fontId="22" fillId="0" borderId="0" xfId="0" applyNumberFormat="1" applyFont="1" applyAlignment="1" applyProtection="1">
      <alignment horizontal="center" vertical="top"/>
    </xf>
    <xf numFmtId="49" fontId="22" fillId="0" borderId="0" xfId="0" applyNumberFormat="1" applyFont="1" applyAlignment="1" applyProtection="1">
      <alignment vertical="top" wrapText="1"/>
    </xf>
    <xf numFmtId="171" fontId="24" fillId="0" borderId="0" xfId="0" applyNumberFormat="1" applyFont="1" applyFill="1" applyBorder="1" applyAlignment="1" applyProtection="1">
      <alignment horizontal="center" vertical="center"/>
    </xf>
    <xf numFmtId="172" fontId="25" fillId="0" borderId="0" xfId="0" applyNumberFormat="1" applyFont="1" applyAlignment="1" applyProtection="1">
      <alignment horizontal="center" vertical="top"/>
    </xf>
    <xf numFmtId="49" fontId="25" fillId="0" borderId="0" xfId="0" applyNumberFormat="1" applyFont="1" applyAlignment="1" applyProtection="1">
      <alignment vertical="top" wrapText="1"/>
    </xf>
    <xf numFmtId="0" fontId="25" fillId="0" borderId="0" xfId="0" applyFont="1" applyAlignment="1" applyProtection="1"/>
    <xf numFmtId="4" fontId="25" fillId="0" borderId="0" xfId="0" applyNumberFormat="1" applyFont="1" applyAlignment="1" applyProtection="1"/>
    <xf numFmtId="49" fontId="25" fillId="0" borderId="1" xfId="0" applyNumberFormat="1" applyFont="1" applyBorder="1" applyAlignment="1" applyProtection="1">
      <alignment vertical="top" wrapText="1"/>
    </xf>
    <xf numFmtId="0" fontId="25" fillId="0" borderId="1" xfId="0" applyFont="1" applyBorder="1" applyAlignment="1" applyProtection="1"/>
    <xf numFmtId="4" fontId="25" fillId="0" borderId="1" xfId="0" applyNumberFormat="1" applyFont="1" applyBorder="1" applyAlignment="1" applyProtection="1"/>
    <xf numFmtId="49" fontId="25" fillId="0" borderId="0" xfId="0" applyNumberFormat="1" applyFont="1" applyAlignment="1" applyProtection="1">
      <alignment horizontal="center" vertical="top"/>
    </xf>
    <xf numFmtId="49" fontId="3" fillId="0" borderId="0" xfId="0" applyNumberFormat="1" applyFont="1" applyAlignment="1" applyProtection="1">
      <alignment vertical="top" wrapText="1"/>
    </xf>
    <xf numFmtId="4" fontId="3" fillId="0" borderId="0" xfId="0" applyNumberFormat="1" applyFont="1" applyAlignment="1" applyProtection="1"/>
    <xf numFmtId="49" fontId="3" fillId="0" borderId="0" xfId="0" applyNumberFormat="1" applyFont="1" applyAlignment="1" applyProtection="1">
      <alignment vertical="top"/>
    </xf>
    <xf numFmtId="172" fontId="25" fillId="0" borderId="0" xfId="0" applyNumberFormat="1" applyFont="1" applyAlignment="1" applyProtection="1">
      <alignment horizontal="center" vertical="top" wrapText="1"/>
    </xf>
    <xf numFmtId="172" fontId="25" fillId="0" borderId="1" xfId="0" applyNumberFormat="1" applyFont="1" applyBorder="1" applyAlignment="1" applyProtection="1">
      <alignment horizontal="center" vertical="top"/>
    </xf>
    <xf numFmtId="172" fontId="25" fillId="0" borderId="4" xfId="0" applyNumberFormat="1" applyFont="1" applyBorder="1" applyAlignment="1" applyProtection="1">
      <alignment horizontal="center" vertical="top"/>
    </xf>
    <xf numFmtId="49" fontId="3" fillId="0" borderId="4" xfId="0" applyNumberFormat="1" applyFont="1" applyBorder="1" applyAlignment="1" applyProtection="1">
      <alignment vertical="top" wrapText="1"/>
    </xf>
    <xf numFmtId="0" fontId="25" fillId="0" borderId="4" xfId="0" applyFont="1" applyBorder="1" applyAlignment="1" applyProtection="1"/>
    <xf numFmtId="4" fontId="27" fillId="0" borderId="4" xfId="0" applyNumberFormat="1" applyFont="1" applyBorder="1" applyAlignment="1" applyProtection="1"/>
    <xf numFmtId="0" fontId="25" fillId="0" borderId="0" xfId="0" applyFont="1" applyProtection="1"/>
    <xf numFmtId="0" fontId="22" fillId="0" borderId="0" xfId="0" applyFont="1" applyFill="1" applyProtection="1">
      <protection locked="0"/>
    </xf>
    <xf numFmtId="171" fontId="22" fillId="0" borderId="0" xfId="0" applyNumberFormat="1" applyFont="1" applyFill="1" applyProtection="1">
      <protection locked="0"/>
    </xf>
    <xf numFmtId="171" fontId="24" fillId="0" borderId="0" xfId="0" applyNumberFormat="1" applyFont="1" applyFill="1" applyBorder="1" applyAlignment="1" applyProtection="1">
      <alignment horizontal="center" vertical="center"/>
      <protection locked="0"/>
    </xf>
    <xf numFmtId="4" fontId="25" fillId="0" borderId="0" xfId="0" applyNumberFormat="1" applyFont="1" applyAlignment="1" applyProtection="1">
      <protection locked="0"/>
    </xf>
    <xf numFmtId="4" fontId="25" fillId="0" borderId="1" xfId="0" applyNumberFormat="1" applyFont="1" applyBorder="1" applyAlignment="1" applyProtection="1">
      <protection locked="0"/>
    </xf>
    <xf numFmtId="4" fontId="25" fillId="0" borderId="4" xfId="0" applyNumberFormat="1" applyFont="1" applyBorder="1" applyAlignment="1" applyProtection="1">
      <protection locked="0"/>
    </xf>
    <xf numFmtId="0" fontId="25" fillId="0" borderId="0" xfId="0" applyFont="1" applyProtection="1">
      <protection locked="0"/>
    </xf>
    <xf numFmtId="0" fontId="0" fillId="0" borderId="0" xfId="0" applyProtection="1">
      <protection locked="0"/>
    </xf>
    <xf numFmtId="49" fontId="12" fillId="0" borderId="0" xfId="0" applyNumberFormat="1" applyFont="1" applyAlignment="1" applyProtection="1">
      <alignment horizontal="justify" vertical="center"/>
    </xf>
    <xf numFmtId="49" fontId="12" fillId="0" borderId="0" xfId="0" applyNumberFormat="1" applyFont="1" applyAlignment="1" applyProtection="1">
      <alignment vertical="center"/>
    </xf>
    <xf numFmtId="49" fontId="29" fillId="0" borderId="0" xfId="0" applyNumberFormat="1" applyFont="1" applyProtection="1"/>
    <xf numFmtId="0" fontId="29" fillId="0" borderId="0" xfId="0" applyFont="1" applyProtection="1"/>
    <xf numFmtId="49" fontId="30" fillId="0" borderId="0" xfId="0" applyNumberFormat="1" applyFont="1" applyProtection="1"/>
    <xf numFmtId="4" fontId="29" fillId="0" borderId="0" xfId="0" applyNumberFormat="1" applyFont="1" applyProtection="1"/>
    <xf numFmtId="49" fontId="21" fillId="0" borderId="0" xfId="0" applyNumberFormat="1" applyFont="1" applyAlignment="1" applyProtection="1">
      <alignment horizontal="justify" vertical="center"/>
    </xf>
    <xf numFmtId="49" fontId="21" fillId="0" borderId="0" xfId="0" applyNumberFormat="1" applyFont="1" applyAlignment="1" applyProtection="1">
      <alignment vertical="center"/>
    </xf>
    <xf numFmtId="4" fontId="30" fillId="0" borderId="0" xfId="0" applyNumberFormat="1" applyFont="1" applyProtection="1"/>
    <xf numFmtId="0" fontId="29" fillId="0" borderId="0" xfId="0" applyFont="1" applyProtection="1">
      <protection locked="0"/>
    </xf>
    <xf numFmtId="4" fontId="29" fillId="0" borderId="0" xfId="0" applyNumberFormat="1" applyFont="1" applyProtection="1">
      <protection locked="0"/>
    </xf>
    <xf numFmtId="4" fontId="29" fillId="0" borderId="0" xfId="0" applyNumberFormat="1" applyFont="1" applyBorder="1" applyProtection="1">
      <protection locked="0"/>
    </xf>
    <xf numFmtId="49" fontId="12" fillId="0" borderId="0" xfId="0" applyNumberFormat="1" applyFont="1" applyAlignment="1" applyProtection="1">
      <alignment horizontal="justify" vertical="center"/>
    </xf>
    <xf numFmtId="49" fontId="12" fillId="0" borderId="0" xfId="0" applyNumberFormat="1" applyFont="1" applyAlignment="1" applyProtection="1">
      <alignment horizontal="justify" vertical="center" wrapText="1"/>
    </xf>
    <xf numFmtId="0" fontId="0" fillId="0" borderId="0" xfId="0" applyAlignment="1" applyProtection="1">
      <alignment wrapText="1"/>
    </xf>
    <xf numFmtId="3" fontId="29" fillId="0" borderId="0" xfId="0" applyNumberFormat="1" applyFont="1" applyProtection="1"/>
    <xf numFmtId="0" fontId="29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center"/>
      <protection locked="0"/>
    </xf>
    <xf numFmtId="1" fontId="31" fillId="0" borderId="5" xfId="0" applyNumberFormat="1" applyFont="1" applyBorder="1" applyAlignment="1" applyProtection="1">
      <alignment horizontal="right"/>
    </xf>
    <xf numFmtId="1" fontId="29" fillId="0" borderId="0" xfId="0" applyNumberFormat="1" applyFont="1" applyProtection="1"/>
    <xf numFmtId="49" fontId="32" fillId="0" borderId="5" xfId="0" applyNumberFormat="1" applyFont="1" applyBorder="1" applyAlignment="1" applyProtection="1">
      <alignment horizontal="center" vertical="center" wrapText="1"/>
    </xf>
    <xf numFmtId="49" fontId="28" fillId="0" borderId="5" xfId="0" applyNumberFormat="1" applyFont="1" applyBorder="1" applyAlignment="1" applyProtection="1">
      <alignment horizontal="center" vertical="center" wrapText="1"/>
    </xf>
    <xf numFmtId="4" fontId="28" fillId="2" borderId="5" xfId="0" applyNumberFormat="1" applyFont="1" applyFill="1" applyBorder="1" applyAlignment="1" applyProtection="1">
      <alignment horizontal="center" vertical="center" wrapText="1"/>
    </xf>
    <xf numFmtId="0" fontId="43" fillId="0" borderId="5" xfId="0" applyFont="1" applyBorder="1" applyAlignment="1" applyProtection="1">
      <alignment horizontal="center" vertical="center"/>
    </xf>
    <xf numFmtId="0" fontId="44" fillId="0" borderId="0" xfId="0" applyFont="1" applyProtection="1"/>
    <xf numFmtId="49" fontId="2" fillId="0" borderId="0" xfId="0" applyNumberFormat="1" applyFont="1" applyAlignment="1" applyProtection="1">
      <alignment vertical="center"/>
    </xf>
    <xf numFmtId="1" fontId="22" fillId="0" borderId="0" xfId="0" applyNumberFormat="1" applyFont="1" applyAlignment="1" applyProtection="1">
      <alignment vertical="top"/>
    </xf>
    <xf numFmtId="1" fontId="28" fillId="2" borderId="5" xfId="0" applyNumberFormat="1" applyFont="1" applyFill="1" applyBorder="1" applyAlignment="1" applyProtection="1">
      <alignment horizontal="center" vertical="center" wrapText="1"/>
    </xf>
    <xf numFmtId="1" fontId="25" fillId="0" borderId="0" xfId="0" applyNumberFormat="1" applyFont="1" applyAlignment="1" applyProtection="1"/>
    <xf numFmtId="1" fontId="25" fillId="0" borderId="1" xfId="0" applyNumberFormat="1" applyFont="1" applyBorder="1" applyAlignment="1" applyProtection="1"/>
    <xf numFmtId="1" fontId="25" fillId="0" borderId="4" xfId="0" applyNumberFormat="1" applyFont="1" applyBorder="1" applyAlignment="1" applyProtection="1"/>
    <xf numFmtId="1" fontId="25" fillId="0" borderId="0" xfId="0" applyNumberFormat="1" applyFont="1" applyProtection="1"/>
    <xf numFmtId="1" fontId="0" fillId="0" borderId="0" xfId="0" applyNumberFormat="1" applyProtection="1"/>
    <xf numFmtId="49" fontId="25" fillId="0" borderId="5" xfId="0" applyNumberFormat="1" applyFont="1" applyBorder="1" applyAlignment="1" applyProtection="1">
      <alignment vertical="top" wrapText="1"/>
    </xf>
    <xf numFmtId="1" fontId="25" fillId="0" borderId="5" xfId="0" applyNumberFormat="1" applyFont="1" applyBorder="1" applyAlignment="1" applyProtection="1"/>
    <xf numFmtId="0" fontId="25" fillId="0" borderId="5" xfId="0" applyFont="1" applyBorder="1" applyAlignment="1" applyProtection="1"/>
    <xf numFmtId="4" fontId="25" fillId="0" borderId="5" xfId="0" applyNumberFormat="1" applyFont="1" applyBorder="1" applyAlignment="1" applyProtection="1">
      <protection locked="0"/>
    </xf>
    <xf numFmtId="4" fontId="25" fillId="0" borderId="5" xfId="0" applyNumberFormat="1" applyFont="1" applyBorder="1" applyAlignment="1" applyProtection="1"/>
    <xf numFmtId="0" fontId="26" fillId="0" borderId="5" xfId="0" applyFont="1" applyBorder="1" applyAlignment="1" applyProtection="1">
      <alignment vertical="center"/>
    </xf>
    <xf numFmtId="49" fontId="26" fillId="0" borderId="5" xfId="0" applyNumberFormat="1" applyFont="1" applyBorder="1" applyAlignment="1" applyProtection="1">
      <alignment vertical="top" wrapText="1"/>
    </xf>
    <xf numFmtId="0" fontId="26" fillId="0" borderId="5" xfId="0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vertical="center" wrapText="1"/>
    </xf>
    <xf numFmtId="4" fontId="25" fillId="0" borderId="5" xfId="0" applyNumberFormat="1" applyFont="1" applyBorder="1" applyAlignment="1" applyProtection="1">
      <alignment horizontal="right"/>
      <protection locked="0"/>
    </xf>
    <xf numFmtId="0" fontId="25" fillId="0" borderId="5" xfId="0" applyNumberFormat="1" applyFont="1" applyBorder="1" applyAlignment="1" applyProtection="1">
      <alignment vertical="top" wrapText="1"/>
    </xf>
    <xf numFmtId="172" fontId="25" fillId="0" borderId="0" xfId="0" applyNumberFormat="1" applyFont="1" applyBorder="1" applyAlignment="1" applyProtection="1">
      <alignment horizontal="center" vertical="top"/>
    </xf>
    <xf numFmtId="49" fontId="12" fillId="0" borderId="0" xfId="0" applyNumberFormat="1" applyFont="1" applyAlignment="1" applyProtection="1">
      <alignment vertical="top" wrapText="1"/>
    </xf>
    <xf numFmtId="0" fontId="2" fillId="0" borderId="0" xfId="7" applyFont="1" applyAlignment="1">
      <alignment horizontal="justify" vertical="top"/>
    </xf>
    <xf numFmtId="49" fontId="3" fillId="0" borderId="1" xfId="7" applyNumberFormat="1" applyFont="1" applyBorder="1" applyAlignment="1">
      <alignment horizontal="left"/>
    </xf>
    <xf numFmtId="0" fontId="2" fillId="0" borderId="0" xfId="0" applyFont="1" applyAlignment="1">
      <alignment horizontal="justify" vertical="top"/>
    </xf>
    <xf numFmtId="49" fontId="2" fillId="0" borderId="2" xfId="0" applyNumberFormat="1" applyFont="1" applyBorder="1" applyAlignment="1">
      <alignment horizontal="left"/>
    </xf>
    <xf numFmtId="0" fontId="2" fillId="0" borderId="0" xfId="7" quotePrefix="1" applyFont="1" applyAlignment="1">
      <alignment horizontal="justify" vertical="top"/>
    </xf>
    <xf numFmtId="0" fontId="2" fillId="0" borderId="0" xfId="10" applyFont="1" applyBorder="1" applyAlignment="1">
      <alignment horizontal="justify" vertical="top"/>
    </xf>
    <xf numFmtId="0" fontId="2" fillId="0" borderId="0" xfId="10" applyFont="1" applyAlignment="1">
      <alignment horizontal="justify" vertical="top"/>
    </xf>
    <xf numFmtId="49" fontId="3" fillId="0" borderId="1" xfId="7" applyNumberFormat="1" applyFont="1" applyBorder="1" applyAlignment="1">
      <alignment horizontal="justify"/>
    </xf>
    <xf numFmtId="0" fontId="45" fillId="0" borderId="0" xfId="7" applyFont="1" applyAlignment="1">
      <alignment horizontal="justify" vertical="top"/>
    </xf>
    <xf numFmtId="49" fontId="2" fillId="0" borderId="2" xfId="0" applyNumberFormat="1" applyFont="1" applyBorder="1" applyAlignment="1">
      <alignment horizontal="justify"/>
    </xf>
    <xf numFmtId="0" fontId="2" fillId="0" borderId="0" xfId="7" applyFont="1" applyAlignment="1">
      <alignment vertical="justify" wrapText="1"/>
    </xf>
    <xf numFmtId="0" fontId="2" fillId="0" borderId="0" xfId="10" applyFont="1" applyFill="1" applyBorder="1" applyAlignment="1">
      <alignment vertical="justify" wrapText="1"/>
    </xf>
    <xf numFmtId="0" fontId="6" fillId="3" borderId="0" xfId="7" applyFont="1" applyFill="1" applyAlignment="1">
      <alignment horizontal="right" wrapText="1"/>
    </xf>
    <xf numFmtId="49" fontId="3" fillId="0" borderId="2" xfId="0" applyNumberFormat="1" applyFont="1" applyBorder="1" applyAlignment="1">
      <alignment horizontal="left"/>
    </xf>
    <xf numFmtId="0" fontId="14" fillId="0" borderId="0" xfId="8" applyFont="1"/>
    <xf numFmtId="0" fontId="12" fillId="0" borderId="0" xfId="7" applyFont="1"/>
    <xf numFmtId="0" fontId="34" fillId="0" borderId="0" xfId="8" applyFont="1"/>
    <xf numFmtId="0" fontId="13" fillId="0" borderId="0" xfId="8" applyFont="1"/>
    <xf numFmtId="0" fontId="13" fillId="0" borderId="1" xfId="8" applyFont="1" applyBorder="1"/>
    <xf numFmtId="0" fontId="13" fillId="0" borderId="3" xfId="8" applyFont="1" applyBorder="1"/>
    <xf numFmtId="0" fontId="2" fillId="0" borderId="0" xfId="7" applyNumberFormat="1" applyFont="1" applyAlignment="1">
      <alignment horizontal="right" vertical="top" wrapText="1"/>
    </xf>
    <xf numFmtId="1" fontId="12" fillId="0" borderId="0" xfId="0" applyNumberFormat="1" applyFont="1" applyAlignment="1" applyProtection="1">
      <alignment vertical="top"/>
    </xf>
    <xf numFmtId="0" fontId="12" fillId="0" borderId="0" xfId="0" applyFont="1" applyProtection="1"/>
    <xf numFmtId="3" fontId="2" fillId="0" borderId="0" xfId="7" applyNumberFormat="1" applyFont="1" applyAlignment="1">
      <alignment horizontal="right"/>
    </xf>
    <xf numFmtId="0" fontId="2" fillId="0" borderId="1" xfId="7" applyNumberFormat="1" applyFont="1" applyBorder="1" applyAlignment="1">
      <alignment horizontal="right" vertical="center" wrapText="1"/>
    </xf>
    <xf numFmtId="3" fontId="2" fillId="0" borderId="1" xfId="7" applyNumberFormat="1" applyFont="1" applyFill="1" applyBorder="1" applyAlignment="1">
      <alignment horizontal="right" vertical="center"/>
    </xf>
    <xf numFmtId="0" fontId="2" fillId="0" borderId="0" xfId="7" applyNumberFormat="1" applyFont="1" applyBorder="1" applyAlignment="1">
      <alignment horizontal="right" vertical="top" wrapText="1"/>
    </xf>
    <xf numFmtId="0" fontId="2" fillId="0" borderId="0" xfId="7" applyFont="1" applyBorder="1" applyAlignment="1">
      <alignment horizontal="justify" vertical="top"/>
    </xf>
    <xf numFmtId="0" fontId="2" fillId="0" borderId="0" xfId="7" applyFont="1" applyBorder="1" applyAlignment="1">
      <alignment horizontal="right" wrapText="1"/>
    </xf>
    <xf numFmtId="167" fontId="2" fillId="0" borderId="0" xfId="7" applyNumberFormat="1" applyFont="1" applyBorder="1" applyAlignment="1">
      <alignment horizontal="right"/>
    </xf>
    <xf numFmtId="3" fontId="2" fillId="0" borderId="0" xfId="7" applyNumberFormat="1" applyFont="1" applyBorder="1" applyAlignment="1" applyProtection="1">
      <alignment horizontal="right"/>
      <protection locked="0"/>
    </xf>
    <xf numFmtId="3" fontId="2" fillId="0" borderId="0" xfId="7" applyNumberFormat="1" applyFont="1" applyBorder="1" applyAlignment="1">
      <alignment horizontal="right"/>
    </xf>
    <xf numFmtId="0" fontId="16" fillId="0" borderId="1" xfId="7" applyNumberFormat="1" applyFont="1" applyBorder="1" applyAlignment="1">
      <alignment horizontal="right" vertical="top" wrapText="1"/>
    </xf>
    <xf numFmtId="0" fontId="3" fillId="0" borderId="1" xfId="7" applyFont="1" applyBorder="1" applyAlignment="1">
      <alignment horizontal="right" wrapText="1"/>
    </xf>
    <xf numFmtId="167" fontId="2" fillId="0" borderId="1" xfId="7" applyNumberFormat="1" applyFont="1" applyBorder="1" applyAlignment="1">
      <alignment horizontal="right"/>
    </xf>
    <xf numFmtId="3" fontId="2" fillId="0" borderId="1" xfId="7" applyNumberFormat="1" applyFont="1" applyBorder="1" applyAlignment="1" applyProtection="1">
      <alignment horizontal="right"/>
      <protection locked="0"/>
    </xf>
    <xf numFmtId="3" fontId="2" fillId="0" borderId="1" xfId="7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justify" vertical="top"/>
    </xf>
    <xf numFmtId="0" fontId="2" fillId="0" borderId="0" xfId="0" applyFont="1" applyBorder="1" applyAlignment="1">
      <alignment horizontal="right" wrapText="1"/>
    </xf>
    <xf numFmtId="167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 applyProtection="1">
      <alignment horizontal="right"/>
      <protection locked="0"/>
    </xf>
    <xf numFmtId="3" fontId="2" fillId="0" borderId="0" xfId="0" applyNumberFormat="1" applyFont="1" applyBorder="1" applyAlignment="1">
      <alignment horizontal="right"/>
    </xf>
    <xf numFmtId="4" fontId="2" fillId="0" borderId="0" xfId="7" applyNumberFormat="1" applyFont="1" applyBorder="1" applyAlignment="1">
      <alignment horizontal="right" wrapText="1"/>
    </xf>
    <xf numFmtId="4" fontId="2" fillId="0" borderId="0" xfId="7" applyNumberFormat="1" applyFont="1" applyBorder="1" applyAlignment="1">
      <alignment horizontal="right"/>
    </xf>
    <xf numFmtId="4" fontId="2" fillId="0" borderId="0" xfId="7" applyNumberFormat="1" applyFont="1" applyBorder="1" applyAlignment="1" applyProtection="1">
      <alignment horizontal="right"/>
      <protection locked="0"/>
    </xf>
    <xf numFmtId="4" fontId="2" fillId="0" borderId="0" xfId="2" applyNumberFormat="1" applyFont="1" applyFill="1" applyBorder="1" applyAlignment="1">
      <alignment horizontal="right"/>
    </xf>
    <xf numFmtId="0" fontId="2" fillId="0" borderId="0" xfId="7" applyNumberFormat="1" applyFont="1" applyFill="1" applyBorder="1" applyAlignment="1">
      <alignment horizontal="right" vertical="top" wrapText="1"/>
    </xf>
    <xf numFmtId="0" fontId="2" fillId="0" borderId="0" xfId="7" applyFont="1" applyFill="1" applyBorder="1" applyAlignment="1">
      <alignment horizontal="justify" vertical="top"/>
    </xf>
    <xf numFmtId="4" fontId="2" fillId="0" borderId="0" xfId="7" applyNumberFormat="1" applyFont="1" applyFill="1" applyBorder="1" applyAlignment="1">
      <alignment horizontal="right" wrapText="1"/>
    </xf>
    <xf numFmtId="4" fontId="2" fillId="0" borderId="0" xfId="0" applyNumberFormat="1" applyFont="1" applyAlignment="1">
      <alignment horizontal="right"/>
    </xf>
    <xf numFmtId="0" fontId="3" fillId="0" borderId="2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wrapText="1"/>
    </xf>
    <xf numFmtId="4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 applyProtection="1">
      <alignment horizontal="right"/>
      <protection locked="0"/>
    </xf>
    <xf numFmtId="4" fontId="2" fillId="0" borderId="0" xfId="0" applyNumberFormat="1" applyFont="1" applyBorder="1" applyAlignment="1">
      <alignment horizontal="right" wrapText="1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 applyProtection="1">
      <alignment horizontal="right"/>
      <protection locked="0"/>
    </xf>
    <xf numFmtId="4" fontId="3" fillId="0" borderId="1" xfId="7" applyNumberFormat="1" applyFont="1" applyBorder="1" applyAlignment="1">
      <alignment horizontal="right" wrapText="1"/>
    </xf>
    <xf numFmtId="4" fontId="2" fillId="0" borderId="1" xfId="7" applyNumberFormat="1" applyFont="1" applyBorder="1" applyAlignment="1">
      <alignment horizontal="right"/>
    </xf>
    <xf numFmtId="4" fontId="2" fillId="0" borderId="1" xfId="7" applyNumberFormat="1" applyFont="1" applyBorder="1" applyAlignment="1" applyProtection="1">
      <alignment horizontal="right"/>
      <protection locked="0"/>
    </xf>
    <xf numFmtId="4" fontId="2" fillId="0" borderId="0" xfId="7" applyNumberFormat="1" applyFont="1" applyBorder="1" applyAlignment="1">
      <alignment horizontal="right" vertical="top"/>
    </xf>
    <xf numFmtId="4" fontId="2" fillId="0" borderId="0" xfId="2" applyNumberFormat="1" applyFont="1" applyFill="1" applyBorder="1" applyAlignment="1" applyProtection="1">
      <alignment horizontal="right"/>
      <protection locked="0"/>
    </xf>
    <xf numFmtId="4" fontId="16" fillId="0" borderId="0" xfId="0" applyNumberFormat="1" applyFont="1" applyAlignment="1">
      <alignment horizontal="right"/>
    </xf>
    <xf numFmtId="4" fontId="47" fillId="0" borderId="0" xfId="7" applyNumberFormat="1" applyFont="1" applyBorder="1" applyAlignment="1">
      <alignment horizontal="right" vertical="top"/>
    </xf>
    <xf numFmtId="4" fontId="2" fillId="0" borderId="0" xfId="7" applyNumberFormat="1" applyFont="1" applyFill="1" applyBorder="1" applyAlignment="1" applyProtection="1">
      <alignment horizontal="right"/>
      <protection locked="0"/>
    </xf>
    <xf numFmtId="4" fontId="16" fillId="0" borderId="0" xfId="0" applyNumberFormat="1" applyFont="1" applyFill="1" applyAlignment="1">
      <alignment horizontal="right"/>
    </xf>
    <xf numFmtId="4" fontId="47" fillId="0" borderId="0" xfId="7" applyNumberFormat="1" applyFont="1" applyFill="1" applyBorder="1" applyAlignment="1">
      <alignment horizontal="right" vertical="top"/>
    </xf>
    <xf numFmtId="0" fontId="2" fillId="0" borderId="0" xfId="7" applyFont="1" applyFill="1" applyAlignment="1">
      <alignment horizontal="justify" vertical="top"/>
    </xf>
    <xf numFmtId="4" fontId="2" fillId="0" borderId="0" xfId="0" applyNumberFormat="1" applyFont="1" applyFill="1" applyAlignment="1">
      <alignment horizontal="right"/>
    </xf>
    <xf numFmtId="0" fontId="2" fillId="0" borderId="0" xfId="7" quotePrefix="1" applyFont="1" applyFill="1" applyAlignment="1">
      <alignment horizontal="justify" vertical="top"/>
    </xf>
    <xf numFmtId="0" fontId="2" fillId="0" borderId="0" xfId="10" applyNumberFormat="1" applyFont="1" applyBorder="1" applyAlignment="1">
      <alignment horizontal="right" vertical="top" wrapText="1"/>
    </xf>
    <xf numFmtId="4" fontId="2" fillId="0" borderId="0" xfId="10" applyNumberFormat="1" applyFont="1" applyBorder="1" applyAlignment="1">
      <alignment horizontal="right" wrapText="1"/>
    </xf>
    <xf numFmtId="4" fontId="2" fillId="0" borderId="0" xfId="10" applyNumberFormat="1" applyFont="1" applyBorder="1" applyAlignment="1" applyProtection="1">
      <alignment horizontal="right"/>
      <protection locked="0"/>
    </xf>
    <xf numFmtId="4" fontId="2" fillId="0" borderId="0" xfId="10" applyNumberFormat="1" applyFont="1" applyFill="1" applyBorder="1" applyAlignment="1" applyProtection="1">
      <alignment horizontal="right"/>
      <protection locked="0"/>
    </xf>
    <xf numFmtId="4" fontId="2" fillId="0" borderId="0" xfId="2" applyNumberFormat="1" applyFont="1" applyBorder="1" applyAlignment="1" applyProtection="1">
      <alignment horizontal="right"/>
      <protection locked="0"/>
    </xf>
    <xf numFmtId="4" fontId="2" fillId="0" borderId="0" xfId="7" applyNumberFormat="1" applyFont="1" applyFill="1" applyBorder="1" applyAlignment="1">
      <alignment horizontal="right"/>
    </xf>
    <xf numFmtId="4" fontId="2" fillId="0" borderId="0" xfId="7" quotePrefix="1" applyNumberFormat="1" applyFont="1" applyBorder="1" applyAlignment="1">
      <alignment horizontal="right" wrapText="1"/>
    </xf>
    <xf numFmtId="0" fontId="45" fillId="0" borderId="0" xfId="7" applyFont="1" applyBorder="1" applyAlignment="1">
      <alignment horizontal="justify" vertical="top"/>
    </xf>
    <xf numFmtId="0" fontId="2" fillId="0" borderId="0" xfId="7" applyFont="1" applyAlignment="1">
      <alignment horizontal="right" vertical="top" wrapText="1"/>
    </xf>
    <xf numFmtId="4" fontId="2" fillId="0" borderId="0" xfId="7" applyNumberFormat="1" applyFont="1" applyAlignment="1">
      <alignment horizontal="right" wrapText="1"/>
    </xf>
    <xf numFmtId="4" fontId="2" fillId="0" borderId="0" xfId="7" applyNumberFormat="1" applyFont="1" applyAlignment="1">
      <alignment horizontal="right" vertical="top"/>
    </xf>
    <xf numFmtId="4" fontId="2" fillId="0" borderId="0" xfId="7" applyNumberFormat="1" applyFont="1" applyAlignment="1">
      <alignment horizontal="right"/>
    </xf>
    <xf numFmtId="0" fontId="2" fillId="0" borderId="0" xfId="7" quotePrefix="1" applyFont="1" applyBorder="1" applyAlignment="1">
      <alignment horizontal="justify" vertical="top"/>
    </xf>
    <xf numFmtId="4" fontId="2" fillId="0" borderId="0" xfId="7" quotePrefix="1" applyNumberFormat="1" applyFont="1" applyFill="1" applyBorder="1" applyAlignment="1">
      <alignment horizontal="right" wrapText="1"/>
    </xf>
    <xf numFmtId="4" fontId="2" fillId="0" borderId="1" xfId="0" applyNumberFormat="1" applyFont="1" applyBorder="1" applyAlignment="1">
      <alignment horizontal="right"/>
    </xf>
    <xf numFmtId="0" fontId="2" fillId="0" borderId="0" xfId="7" applyFont="1" applyFill="1" applyBorder="1" applyAlignment="1">
      <alignment vertical="justify" wrapText="1"/>
    </xf>
    <xf numFmtId="4" fontId="16" fillId="0" borderId="0" xfId="7" applyNumberFormat="1" applyFont="1" applyFill="1" applyBorder="1" applyAlignment="1">
      <alignment horizontal="right" vertical="justify" wrapText="1"/>
    </xf>
    <xf numFmtId="4" fontId="2" fillId="0" borderId="0" xfId="7" applyNumberFormat="1" applyFont="1" applyFill="1" applyBorder="1" applyAlignment="1">
      <alignment horizontal="right" vertical="justify" wrapText="1"/>
    </xf>
    <xf numFmtId="169" fontId="2" fillId="0" borderId="0" xfId="7" applyNumberFormat="1" applyFont="1" applyFill="1" applyBorder="1" applyAlignment="1">
      <alignment horizontal="left" vertical="top" wrapText="1"/>
    </xf>
    <xf numFmtId="0" fontId="2" fillId="0" borderId="1" xfId="7" applyNumberFormat="1" applyFont="1" applyBorder="1" applyAlignment="1">
      <alignment horizontal="right" vertical="top" wrapText="1"/>
    </xf>
    <xf numFmtId="4" fontId="2" fillId="0" borderId="1" xfId="7" applyNumberFormat="1" applyFont="1" applyBorder="1" applyAlignment="1">
      <alignment horizontal="right" wrapText="1"/>
    </xf>
    <xf numFmtId="0" fontId="3" fillId="0" borderId="0" xfId="0" applyNumberFormat="1" applyFont="1" applyBorder="1" applyAlignment="1">
      <alignment horizontal="right" vertical="top" wrapText="1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 applyProtection="1">
      <alignment horizontal="right"/>
      <protection locked="0"/>
    </xf>
    <xf numFmtId="0" fontId="2" fillId="0" borderId="0" xfId="7" applyFont="1" applyAlignment="1">
      <alignment horizontal="right" wrapText="1"/>
    </xf>
    <xf numFmtId="167" fontId="2" fillId="0" borderId="0" xfId="7" applyNumberFormat="1" applyFont="1" applyAlignment="1">
      <alignment horizontal="right"/>
    </xf>
    <xf numFmtId="3" fontId="2" fillId="0" borderId="0" xfId="7" applyNumberFormat="1" applyFont="1" applyAlignment="1" applyProtection="1">
      <alignment horizontal="right"/>
      <protection locked="0"/>
    </xf>
    <xf numFmtId="0" fontId="2" fillId="0" borderId="0" xfId="0" applyFont="1" applyProtection="1"/>
    <xf numFmtId="0" fontId="12" fillId="0" borderId="0" xfId="8" applyFont="1" applyProtection="1"/>
    <xf numFmtId="0" fontId="14" fillId="0" borderId="0" xfId="8" applyFont="1" applyFill="1" applyAlignment="1" applyProtection="1"/>
    <xf numFmtId="4" fontId="12" fillId="0" borderId="0" xfId="0" applyNumberFormat="1" applyFont="1" applyProtection="1"/>
    <xf numFmtId="0" fontId="34" fillId="0" borderId="0" xfId="8" applyFont="1" applyFill="1" applyBorder="1" applyAlignment="1" applyProtection="1"/>
    <xf numFmtId="0" fontId="13" fillId="0" borderId="0" xfId="8" applyFont="1" applyFill="1" applyBorder="1" applyAlignment="1" applyProtection="1"/>
    <xf numFmtId="4" fontId="12" fillId="0" borderId="0" xfId="6" applyNumberFormat="1" applyFont="1" applyBorder="1" applyProtection="1"/>
    <xf numFmtId="0" fontId="13" fillId="0" borderId="0" xfId="8" applyFont="1" applyFill="1" applyBorder="1" applyProtection="1"/>
    <xf numFmtId="4" fontId="13" fillId="0" borderId="0" xfId="6" applyNumberFormat="1" applyFont="1" applyFill="1" applyBorder="1" applyProtection="1"/>
    <xf numFmtId="0" fontId="13" fillId="0" borderId="1" xfId="8" applyFont="1" applyFill="1" applyBorder="1" applyProtection="1"/>
    <xf numFmtId="0" fontId="34" fillId="0" borderId="0" xfId="8" applyFont="1" applyFill="1" applyBorder="1" applyProtection="1"/>
    <xf numFmtId="4" fontId="13" fillId="0" borderId="1" xfId="6" applyNumberFormat="1" applyFont="1" applyFill="1" applyBorder="1" applyProtection="1"/>
    <xf numFmtId="0" fontId="13" fillId="0" borderId="3" xfId="8" applyFont="1" applyFill="1" applyBorder="1" applyAlignment="1" applyProtection="1"/>
    <xf numFmtId="49" fontId="28" fillId="0" borderId="1" xfId="0" applyNumberFormat="1" applyFont="1" applyBorder="1" applyAlignment="1" applyProtection="1">
      <alignment horizontal="center" vertical="center" wrapTex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0" fontId="43" fillId="0" borderId="1" xfId="0" applyFont="1" applyBorder="1" applyAlignment="1" applyProtection="1">
      <alignment horizontal="center" vertical="center"/>
    </xf>
    <xf numFmtId="4" fontId="28" fillId="2" borderId="1" xfId="0" applyNumberFormat="1" applyFont="1" applyFill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left"/>
    </xf>
    <xf numFmtId="49" fontId="46" fillId="0" borderId="2" xfId="1" applyNumberFormat="1" applyFont="1" applyBorder="1" applyAlignment="1" applyProtection="1">
      <alignment horizontal="left"/>
    </xf>
    <xf numFmtId="49" fontId="3" fillId="0" borderId="2" xfId="1" applyNumberFormat="1" applyFont="1" applyBorder="1" applyAlignment="1" applyProtection="1">
      <alignment horizontal="justify"/>
    </xf>
    <xf numFmtId="0" fontId="13" fillId="0" borderId="0" xfId="8" applyFont="1" applyFill="1" applyBorder="1" applyProtection="1">
      <protection locked="0"/>
    </xf>
    <xf numFmtId="9" fontId="21" fillId="0" borderId="0" xfId="6" applyNumberFormat="1" applyFont="1" applyFill="1" applyBorder="1" applyProtection="1">
      <protection locked="0"/>
    </xf>
    <xf numFmtId="0" fontId="0" fillId="0" borderId="7" xfId="0" applyBorder="1" applyAlignment="1"/>
    <xf numFmtId="49" fontId="12" fillId="0" borderId="0" xfId="0" applyNumberFormat="1" applyFont="1" applyAlignment="1" applyProtection="1">
      <alignment horizontal="justify" vertical="center"/>
    </xf>
    <xf numFmtId="0" fontId="0" fillId="0" borderId="0" xfId="0" applyAlignment="1" applyProtection="1"/>
    <xf numFmtId="49" fontId="12" fillId="0" borderId="0" xfId="0" applyNumberFormat="1" applyFont="1" applyAlignment="1" applyProtection="1">
      <alignment horizontal="justify" vertical="center" wrapText="1"/>
    </xf>
    <xf numFmtId="0" fontId="0" fillId="0" borderId="0" xfId="0" applyAlignment="1" applyProtection="1">
      <alignment wrapText="1"/>
    </xf>
    <xf numFmtId="3" fontId="2" fillId="0" borderId="0" xfId="7" applyNumberFormat="1" applyFont="1" applyAlignment="1" applyProtection="1">
      <alignment horizontal="right"/>
    </xf>
    <xf numFmtId="3" fontId="2" fillId="0" borderId="1" xfId="7" applyNumberFormat="1" applyFont="1" applyFill="1" applyBorder="1" applyAlignment="1" applyProtection="1">
      <alignment horizontal="right" vertical="center"/>
    </xf>
    <xf numFmtId="4" fontId="28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28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2">
    <cellStyle name="Comma_OSN" xfId="4"/>
    <cellStyle name="Comma_OSN 2" xfId="9"/>
    <cellStyle name="Currency [0]_1.3.2" xfId="5"/>
    <cellStyle name="Currency_1.3.2" xfId="6"/>
    <cellStyle name="Navadno" xfId="0" builtinId="0"/>
    <cellStyle name="Navadno 2" xfId="3"/>
    <cellStyle name="Normal_1.3.2" xfId="7"/>
    <cellStyle name="Normal_1.3.2 2" xfId="10"/>
    <cellStyle name="Normal_R 1,1" xfId="8"/>
    <cellStyle name="RavenVrs_1" xfId="1" builtinId="1" iLevel="0"/>
    <cellStyle name="Vejica" xfId="2" builtinId="3"/>
    <cellStyle name="Vejica 2" xfId="1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showZeros="0" view="pageBreakPreview" topLeftCell="A10" zoomScaleNormal="100" zoomScaleSheetLayoutView="100" workbookViewId="0">
      <selection activeCell="B27" sqref="B27"/>
    </sheetView>
  </sheetViews>
  <sheetFormatPr defaultColWidth="9.140625" defaultRowHeight="14.25" x14ac:dyDescent="0.2"/>
  <cols>
    <col min="1" max="1" width="5.7109375" style="77" customWidth="1"/>
    <col min="2" max="2" width="50.7109375" style="77" customWidth="1"/>
    <col min="3" max="3" width="30.7109375" style="107" customWidth="1"/>
    <col min="4" max="16384" width="9.140625" style="77"/>
  </cols>
  <sheetData>
    <row r="1" spans="1:3" ht="18" x14ac:dyDescent="0.25">
      <c r="B1" s="264" t="s">
        <v>460</v>
      </c>
    </row>
    <row r="2" spans="1:3" x14ac:dyDescent="0.2">
      <c r="A2" s="74"/>
      <c r="B2" s="75"/>
      <c r="C2" s="76"/>
    </row>
    <row r="3" spans="1:3" x14ac:dyDescent="0.2">
      <c r="A3" s="78"/>
      <c r="B3" s="74"/>
      <c r="C3" s="76"/>
    </row>
    <row r="4" spans="1:3" x14ac:dyDescent="0.2">
      <c r="A4" s="79"/>
      <c r="B4" s="74"/>
      <c r="C4" s="76"/>
    </row>
    <row r="5" spans="1:3" x14ac:dyDescent="0.2">
      <c r="A5" s="79"/>
      <c r="B5" s="74"/>
      <c r="C5" s="76"/>
    </row>
    <row r="6" spans="1:3" ht="15.75" x14ac:dyDescent="0.25">
      <c r="A6" s="80" t="s">
        <v>434</v>
      </c>
      <c r="B6" s="81" t="s">
        <v>242</v>
      </c>
      <c r="C6" s="82"/>
    </row>
    <row r="7" spans="1:3" ht="15.75" x14ac:dyDescent="0.25">
      <c r="A7" s="83"/>
      <c r="B7" s="84"/>
      <c r="C7" s="82"/>
    </row>
    <row r="8" spans="1:3" ht="15.75" x14ac:dyDescent="0.25">
      <c r="A8" s="83"/>
      <c r="B8" s="84"/>
      <c r="C8" s="82"/>
    </row>
    <row r="9" spans="1:3" ht="15.75" x14ac:dyDescent="0.25">
      <c r="A9" s="83"/>
      <c r="B9" s="85" t="s">
        <v>86</v>
      </c>
      <c r="C9" s="86">
        <f>+'rekapitulacija zunanja ureditev'!C22</f>
        <v>0</v>
      </c>
    </row>
    <row r="10" spans="1:3" ht="15.75" x14ac:dyDescent="0.25">
      <c r="A10" s="83"/>
      <c r="B10" s="85"/>
      <c r="C10" s="86"/>
    </row>
    <row r="11" spans="1:3" ht="15.75" x14ac:dyDescent="0.25">
      <c r="A11" s="83"/>
      <c r="B11" s="85" t="s">
        <v>140</v>
      </c>
      <c r="C11" s="86">
        <f>+'rekapitulacija maščobnik'!C24</f>
        <v>0</v>
      </c>
    </row>
    <row r="12" spans="1:3" ht="15.75" x14ac:dyDescent="0.25">
      <c r="A12" s="87"/>
      <c r="B12" s="85"/>
      <c r="C12" s="86"/>
    </row>
    <row r="13" spans="1:3" ht="15.75" x14ac:dyDescent="0.25">
      <c r="A13" s="87"/>
      <c r="B13" s="85" t="s">
        <v>160</v>
      </c>
      <c r="C13" s="86">
        <f>+'rekapitulacija blok2 GD'!C24</f>
        <v>0</v>
      </c>
    </row>
    <row r="14" spans="1:3" ht="15.75" x14ac:dyDescent="0.25">
      <c r="A14" s="87"/>
      <c r="B14" s="85"/>
      <c r="C14" s="88"/>
    </row>
    <row r="15" spans="1:3" ht="16.5" thickBot="1" x14ac:dyDescent="0.3">
      <c r="A15" s="87"/>
      <c r="B15" s="89" t="s">
        <v>85</v>
      </c>
      <c r="C15" s="90">
        <f>SUM(C9:C14)</f>
        <v>0</v>
      </c>
    </row>
    <row r="16" spans="1:3" ht="15.75" x14ac:dyDescent="0.25">
      <c r="A16" s="87"/>
      <c r="B16" s="91"/>
      <c r="C16" s="92"/>
    </row>
    <row r="17" spans="1:3" ht="15.75" x14ac:dyDescent="0.25">
      <c r="A17" s="87"/>
      <c r="B17" s="91"/>
      <c r="C17" s="92"/>
    </row>
    <row r="18" spans="1:3" ht="15.75" x14ac:dyDescent="0.25">
      <c r="A18" s="87" t="s">
        <v>435</v>
      </c>
      <c r="B18" s="81" t="s">
        <v>243</v>
      </c>
      <c r="C18" s="92">
        <f>+elektroinstalacije!F110</f>
        <v>0</v>
      </c>
    </row>
    <row r="19" spans="1:3" ht="15.75" x14ac:dyDescent="0.25">
      <c r="A19" s="87"/>
      <c r="B19" s="91"/>
      <c r="C19" s="92"/>
    </row>
    <row r="20" spans="1:3" ht="15.75" x14ac:dyDescent="0.25">
      <c r="A20" s="87"/>
      <c r="B20" s="91"/>
      <c r="C20" s="92"/>
    </row>
    <row r="21" spans="1:3" ht="15.75" x14ac:dyDescent="0.25">
      <c r="A21" s="87" t="s">
        <v>436</v>
      </c>
      <c r="B21" s="81" t="s">
        <v>448</v>
      </c>
      <c r="C21" s="92">
        <f>+'strojna oprema '!E79</f>
        <v>0</v>
      </c>
    </row>
    <row r="22" spans="1:3" ht="15" x14ac:dyDescent="0.25">
      <c r="A22" s="93"/>
      <c r="B22" s="94"/>
      <c r="C22" s="95"/>
    </row>
    <row r="23" spans="1:3" ht="15" x14ac:dyDescent="0.25">
      <c r="A23" s="93"/>
      <c r="B23" s="94"/>
      <c r="C23" s="95"/>
    </row>
    <row r="24" spans="1:3" ht="15" x14ac:dyDescent="0.25">
      <c r="A24" s="93"/>
      <c r="B24" s="94"/>
      <c r="C24" s="95"/>
    </row>
    <row r="25" spans="1:3" ht="15.75" x14ac:dyDescent="0.25">
      <c r="A25" s="93"/>
      <c r="B25" s="96" t="s">
        <v>437</v>
      </c>
      <c r="C25" s="95"/>
    </row>
    <row r="26" spans="1:3" ht="15" x14ac:dyDescent="0.25">
      <c r="A26" s="93"/>
      <c r="B26" s="94"/>
      <c r="C26" s="95"/>
    </row>
    <row r="27" spans="1:3" ht="15" x14ac:dyDescent="0.25">
      <c r="A27" s="93" t="s">
        <v>434</v>
      </c>
      <c r="B27" s="94" t="s">
        <v>438</v>
      </c>
      <c r="C27" s="95">
        <f>+C15</f>
        <v>0</v>
      </c>
    </row>
    <row r="28" spans="1:3" ht="15" x14ac:dyDescent="0.25">
      <c r="A28" s="93"/>
      <c r="B28" s="94"/>
      <c r="C28" s="95"/>
    </row>
    <row r="29" spans="1:3" ht="15" x14ac:dyDescent="0.25">
      <c r="A29" s="93" t="s">
        <v>439</v>
      </c>
      <c r="B29" s="94" t="s">
        <v>440</v>
      </c>
      <c r="C29" s="95">
        <f>+C18</f>
        <v>0</v>
      </c>
    </row>
    <row r="30" spans="1:3" ht="15" x14ac:dyDescent="0.25">
      <c r="A30" s="93"/>
      <c r="B30" s="94"/>
      <c r="C30" s="95"/>
    </row>
    <row r="31" spans="1:3" ht="15" x14ac:dyDescent="0.25">
      <c r="A31" s="93" t="s">
        <v>441</v>
      </c>
      <c r="B31" s="94" t="s">
        <v>447</v>
      </c>
      <c r="C31" s="95">
        <f>+C21</f>
        <v>0</v>
      </c>
    </row>
    <row r="32" spans="1:3" ht="15" x14ac:dyDescent="0.25">
      <c r="A32" s="97"/>
      <c r="B32" s="94"/>
      <c r="C32" s="95"/>
    </row>
    <row r="33" spans="1:6" ht="15.75" thickBot="1" x14ac:dyDescent="0.3">
      <c r="A33" s="97"/>
      <c r="B33" s="98" t="s">
        <v>442</v>
      </c>
      <c r="C33" s="99">
        <f>SUM(C27:C32)</f>
        <v>0</v>
      </c>
    </row>
    <row r="34" spans="1:6" ht="15" x14ac:dyDescent="0.25">
      <c r="A34" s="97"/>
      <c r="B34" s="94"/>
      <c r="C34" s="95"/>
    </row>
    <row r="35" spans="1:6" ht="15" x14ac:dyDescent="0.25">
      <c r="A35" s="97"/>
      <c r="B35" s="404" t="s">
        <v>475</v>
      </c>
      <c r="C35" s="405"/>
    </row>
    <row r="36" spans="1:6" ht="15" x14ac:dyDescent="0.25">
      <c r="A36" s="97"/>
      <c r="B36" s="94" t="s">
        <v>476</v>
      </c>
      <c r="C36" s="95">
        <f>C33*C35</f>
        <v>0</v>
      </c>
    </row>
    <row r="37" spans="1:6" ht="15.75" thickBot="1" x14ac:dyDescent="0.3">
      <c r="A37" s="97"/>
      <c r="B37" s="94"/>
      <c r="C37" s="95"/>
    </row>
    <row r="38" spans="1:6" ht="15.75" thickBot="1" x14ac:dyDescent="0.3">
      <c r="A38" s="97"/>
      <c r="B38" s="100" t="s">
        <v>443</v>
      </c>
      <c r="C38" s="101">
        <f>C33-C36</f>
        <v>0</v>
      </c>
    </row>
    <row r="39" spans="1:6" ht="15" x14ac:dyDescent="0.25">
      <c r="A39" s="97"/>
      <c r="B39" s="94"/>
      <c r="C39" s="95"/>
    </row>
    <row r="40" spans="1:6" ht="15" x14ac:dyDescent="0.25">
      <c r="A40" s="97"/>
      <c r="B40" s="94" t="s">
        <v>474</v>
      </c>
      <c r="C40" s="95">
        <f>+C38*0.22</f>
        <v>0</v>
      </c>
    </row>
    <row r="41" spans="1:6" ht="15" x14ac:dyDescent="0.25">
      <c r="A41" s="97"/>
      <c r="B41" s="94"/>
      <c r="C41" s="95"/>
    </row>
    <row r="42" spans="1:6" ht="15" x14ac:dyDescent="0.25">
      <c r="A42" s="97"/>
      <c r="B42" s="102" t="s">
        <v>444</v>
      </c>
      <c r="C42" s="103">
        <f>SUM(C38:C41)</f>
        <v>0</v>
      </c>
    </row>
    <row r="43" spans="1:6" ht="15" x14ac:dyDescent="0.25">
      <c r="A43" s="97"/>
      <c r="B43" s="104"/>
      <c r="C43" s="95"/>
    </row>
    <row r="44" spans="1:6" ht="15.75" x14ac:dyDescent="0.25">
      <c r="B44" s="68" t="s">
        <v>445</v>
      </c>
      <c r="C44" s="68"/>
      <c r="D44" s="69"/>
      <c r="E44" s="70"/>
      <c r="F44" s="71"/>
    </row>
    <row r="45" spans="1:6" ht="15.75" x14ac:dyDescent="0.25">
      <c r="B45" s="68" t="s">
        <v>446</v>
      </c>
      <c r="C45" s="68"/>
      <c r="D45" s="69"/>
      <c r="E45" s="72"/>
      <c r="F45" s="73"/>
    </row>
    <row r="46" spans="1:6" ht="15" x14ac:dyDescent="0.25">
      <c r="B46" s="94"/>
      <c r="C46" s="95"/>
    </row>
    <row r="47" spans="1:6" x14ac:dyDescent="0.2">
      <c r="B47" s="105"/>
      <c r="C47" s="106"/>
    </row>
  </sheetData>
  <sheetProtection algorithmName="SHA-512" hashValue="p0fKxLsnZgz3OSmxfENyhI+MOuhMzC8JCpcB9EL3s2A+pyRAT3KrFm8uUOhSWWneVmNAUqptFJWMqGgeHxPLsA==" saltValue="JlkS71S6KYo8cbwYfxrhfg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&amp;R&amp;"Arial,Navadno"&amp;10&amp;P/&amp;N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26"/>
  <sheetViews>
    <sheetView showZeros="0" view="pageBreakPreview" zoomScaleNormal="100" zoomScaleSheetLayoutView="100" workbookViewId="0">
      <selection activeCell="B8" sqref="B8"/>
    </sheetView>
  </sheetViews>
  <sheetFormatPr defaultColWidth="9.140625" defaultRowHeight="14.25" x14ac:dyDescent="0.2"/>
  <cols>
    <col min="1" max="1" width="5.7109375" style="77" customWidth="1"/>
    <col min="2" max="2" width="50.7109375" style="77" customWidth="1"/>
    <col min="3" max="3" width="30.7109375" style="77" customWidth="1"/>
    <col min="4" max="16384" width="9.140625" style="77"/>
  </cols>
  <sheetData>
    <row r="7" spans="1:3" x14ac:dyDescent="0.2">
      <c r="A7" s="74"/>
      <c r="B7" s="75"/>
      <c r="C7" s="74"/>
    </row>
    <row r="8" spans="1:3" x14ac:dyDescent="0.2">
      <c r="A8" s="78"/>
      <c r="B8" s="74"/>
      <c r="C8" s="74"/>
    </row>
    <row r="9" spans="1:3" x14ac:dyDescent="0.2">
      <c r="A9" s="79"/>
      <c r="B9" s="74"/>
      <c r="C9" s="74"/>
    </row>
    <row r="10" spans="1:3" x14ac:dyDescent="0.2">
      <c r="A10" s="79"/>
      <c r="B10" s="74"/>
      <c r="C10" s="74"/>
    </row>
    <row r="11" spans="1:3" ht="18" x14ac:dyDescent="0.25">
      <c r="A11" s="108"/>
      <c r="B11" s="109" t="s">
        <v>0</v>
      </c>
      <c r="C11" s="75"/>
    </row>
    <row r="12" spans="1:3" x14ac:dyDescent="0.2">
      <c r="A12" s="74"/>
      <c r="B12" s="110"/>
      <c r="C12" s="75"/>
    </row>
    <row r="13" spans="1:3" x14ac:dyDescent="0.2">
      <c r="A13" s="74"/>
      <c r="B13" s="110"/>
      <c r="C13" s="111"/>
    </row>
    <row r="14" spans="1:3" x14ac:dyDescent="0.2">
      <c r="A14" s="74"/>
      <c r="B14" s="105" t="s">
        <v>1</v>
      </c>
      <c r="C14" s="112">
        <f>+'01-zunanja ureditev'!F79</f>
        <v>0</v>
      </c>
    </row>
    <row r="15" spans="1:3" x14ac:dyDescent="0.2">
      <c r="A15" s="74"/>
      <c r="B15" s="105"/>
      <c r="C15" s="112"/>
    </row>
    <row r="16" spans="1:3" x14ac:dyDescent="0.2">
      <c r="A16" s="74"/>
      <c r="B16" s="105" t="s">
        <v>2</v>
      </c>
      <c r="C16" s="112">
        <f>+'01-zunanja ureditev'!F127</f>
        <v>0</v>
      </c>
    </row>
    <row r="17" spans="2:3" x14ac:dyDescent="0.2">
      <c r="B17" s="105"/>
      <c r="C17" s="112"/>
    </row>
    <row r="18" spans="2:3" x14ac:dyDescent="0.2">
      <c r="B18" s="105" t="s">
        <v>3</v>
      </c>
      <c r="C18" s="112">
        <f>+'01-zunanja ureditev'!F167</f>
        <v>0</v>
      </c>
    </row>
    <row r="19" spans="2:3" x14ac:dyDescent="0.2">
      <c r="B19" s="105"/>
      <c r="C19" s="112"/>
    </row>
    <row r="20" spans="2:3" x14ac:dyDescent="0.2">
      <c r="B20" s="105" t="s">
        <v>200</v>
      </c>
      <c r="C20" s="112">
        <f>+'01-zunanja ureditev'!F226</f>
        <v>0</v>
      </c>
    </row>
    <row r="21" spans="2:3" x14ac:dyDescent="0.2">
      <c r="B21" s="113"/>
      <c r="C21" s="114"/>
    </row>
    <row r="22" spans="2:3" ht="15" x14ac:dyDescent="0.25">
      <c r="B22" s="115" t="s">
        <v>93</v>
      </c>
      <c r="C22" s="116">
        <f>SUM(C14:C21)</f>
        <v>0</v>
      </c>
    </row>
    <row r="23" spans="2:3" x14ac:dyDescent="0.2">
      <c r="B23" s="105"/>
      <c r="C23" s="112"/>
    </row>
    <row r="24" spans="2:3" x14ac:dyDescent="0.2">
      <c r="B24" s="105"/>
      <c r="C24" s="112"/>
    </row>
    <row r="25" spans="2:3" ht="15" x14ac:dyDescent="0.25">
      <c r="B25" s="117" t="s">
        <v>94</v>
      </c>
      <c r="C25" s="118">
        <f>SUM(C22:C24)</f>
        <v>0</v>
      </c>
    </row>
    <row r="26" spans="2:3" x14ac:dyDescent="0.2">
      <c r="B26" s="105"/>
      <c r="C26" s="119"/>
    </row>
  </sheetData>
  <sheetProtection algorithmName="SHA-512" hashValue="Y9tniSYlpM1VDTbMLiAS7X24X2fMSOMdv2OX0T1jbdwHIvB4gLDyqUnbxHCd1+C7Td+tuMUwY3c7UvkznEVIWQ==" saltValue="NXB2mlJNRL4Fqnp8Uxz3C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&amp;R&amp;"Arial,Navadno"&amp;10&amp;P/&amp;N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6"/>
  <sheetViews>
    <sheetView showZeros="0" view="pageBreakPreview" zoomScaleNormal="100" zoomScaleSheetLayoutView="100" workbookViewId="0">
      <pane ySplit="4" topLeftCell="A5" activePane="bottomLeft" state="frozen"/>
      <selection activeCell="C14" sqref="C14"/>
      <selection pane="bottomLeft" activeCell="E1" sqref="E1:E1048576"/>
    </sheetView>
  </sheetViews>
  <sheetFormatPr defaultColWidth="9.140625" defaultRowHeight="14.25" x14ac:dyDescent="0.2"/>
  <cols>
    <col min="1" max="1" width="5.7109375" style="124" customWidth="1"/>
    <col min="2" max="2" width="30.7109375" style="125" customWidth="1"/>
    <col min="3" max="3" width="10.7109375" style="126" customWidth="1"/>
    <col min="4" max="4" width="10.7109375" style="128" customWidth="1"/>
    <col min="5" max="5" width="12.7109375" style="178" customWidth="1"/>
    <col min="6" max="6" width="15.7109375" style="128" customWidth="1"/>
    <col min="7" max="16384" width="9.140625" style="77"/>
  </cols>
  <sheetData>
    <row r="1" spans="1:8" ht="18" x14ac:dyDescent="0.25">
      <c r="B1" s="264" t="s">
        <v>460</v>
      </c>
      <c r="C1" s="307"/>
      <c r="D1" s="308"/>
      <c r="E1" s="383"/>
      <c r="F1" s="411"/>
    </row>
    <row r="2" spans="1:8" ht="18" x14ac:dyDescent="0.25">
      <c r="B2" s="264" t="s">
        <v>86</v>
      </c>
      <c r="C2" s="307"/>
      <c r="D2" s="308"/>
      <c r="E2" s="383"/>
      <c r="F2" s="411"/>
    </row>
    <row r="3" spans="1:8" ht="18" x14ac:dyDescent="0.25">
      <c r="B3" s="264"/>
      <c r="C3" s="307"/>
      <c r="D3" s="308"/>
      <c r="E3" s="383"/>
      <c r="F3" s="411"/>
    </row>
    <row r="4" spans="1:8" x14ac:dyDescent="0.2">
      <c r="B4" s="285"/>
      <c r="C4" s="307"/>
      <c r="D4" s="308"/>
      <c r="E4" s="383"/>
      <c r="F4" s="412"/>
    </row>
    <row r="5" spans="1:8" ht="21" x14ac:dyDescent="0.2">
      <c r="B5" s="261" t="s">
        <v>458</v>
      </c>
      <c r="C5" s="267" t="s">
        <v>457</v>
      </c>
      <c r="D5" s="263" t="s">
        <v>459</v>
      </c>
      <c r="E5" s="413" t="s">
        <v>344</v>
      </c>
      <c r="F5" s="262" t="s">
        <v>345</v>
      </c>
    </row>
    <row r="6" spans="1:8" x14ac:dyDescent="0.2">
      <c r="B6" s="397"/>
      <c r="C6" s="398"/>
      <c r="D6" s="399"/>
      <c r="E6" s="414"/>
      <c r="F6" s="400"/>
    </row>
    <row r="7" spans="1:8" x14ac:dyDescent="0.2">
      <c r="A7" s="120" t="s">
        <v>4</v>
      </c>
      <c r="B7" s="121" t="s">
        <v>1</v>
      </c>
      <c r="C7" s="122"/>
      <c r="D7" s="123"/>
      <c r="E7" s="177"/>
      <c r="F7" s="123"/>
    </row>
    <row r="9" spans="1:8" ht="145.5" customHeight="1" x14ac:dyDescent="0.2">
      <c r="A9" s="124" t="s">
        <v>5</v>
      </c>
      <c r="B9" s="138" t="s">
        <v>469</v>
      </c>
      <c r="D9" s="127"/>
    </row>
    <row r="10" spans="1:8" x14ac:dyDescent="0.2">
      <c r="C10" s="140" t="s">
        <v>143</v>
      </c>
      <c r="D10" s="129">
        <v>1</v>
      </c>
      <c r="E10" s="179"/>
      <c r="F10" s="130">
        <f>+D10*E10</f>
        <v>0</v>
      </c>
    </row>
    <row r="11" spans="1:8" x14ac:dyDescent="0.2">
      <c r="E11" s="179"/>
      <c r="F11" s="130">
        <f t="shared" ref="F11:F13" si="0">+D11*E11</f>
        <v>0</v>
      </c>
    </row>
    <row r="12" spans="1:8" ht="38.25" x14ac:dyDescent="0.2">
      <c r="A12" s="124" t="s">
        <v>6</v>
      </c>
      <c r="B12" s="125" t="s">
        <v>7</v>
      </c>
      <c r="D12" s="129"/>
      <c r="E12" s="179"/>
      <c r="F12" s="130">
        <f t="shared" si="0"/>
        <v>0</v>
      </c>
    </row>
    <row r="13" spans="1:8" x14ac:dyDescent="0.2">
      <c r="C13" s="126" t="s">
        <v>82</v>
      </c>
      <c r="D13" s="129">
        <f>(25*18*0.2+21*3*0.2)*1.1</f>
        <v>112.86</v>
      </c>
      <c r="E13" s="179"/>
      <c r="F13" s="130">
        <f t="shared" si="0"/>
        <v>0</v>
      </c>
    </row>
    <row r="14" spans="1:8" x14ac:dyDescent="0.2">
      <c r="D14" s="127"/>
      <c r="E14" s="179"/>
      <c r="F14" s="130"/>
    </row>
    <row r="15" spans="1:8" ht="51" x14ac:dyDescent="0.2">
      <c r="A15" s="124" t="s">
        <v>9</v>
      </c>
      <c r="B15" s="131" t="s">
        <v>10</v>
      </c>
      <c r="D15" s="129"/>
      <c r="E15" s="179"/>
      <c r="F15" s="130"/>
    </row>
    <row r="16" spans="1:8" x14ac:dyDescent="0.2">
      <c r="B16" s="132" t="s">
        <v>11</v>
      </c>
      <c r="D16" s="129">
        <f>(5*5.5*2.8)*1.1</f>
        <v>84.7</v>
      </c>
      <c r="E16" s="179"/>
      <c r="F16" s="130"/>
      <c r="H16" s="133"/>
    </row>
    <row r="17" spans="1:8" x14ac:dyDescent="0.2">
      <c r="B17" s="132" t="s">
        <v>12</v>
      </c>
      <c r="D17" s="129">
        <f>(20*15*3.7+6*12*1)*1.1</f>
        <v>1300.2</v>
      </c>
      <c r="E17" s="179"/>
      <c r="F17" s="130"/>
      <c r="H17" s="133"/>
    </row>
    <row r="18" spans="1:8" x14ac:dyDescent="0.2">
      <c r="C18" s="126" t="s">
        <v>82</v>
      </c>
      <c r="D18" s="127">
        <f>SUM(D16:D17)</f>
        <v>1384.9</v>
      </c>
      <c r="E18" s="179"/>
      <c r="F18" s="130">
        <f>+D18*E18</f>
        <v>0</v>
      </c>
    </row>
    <row r="19" spans="1:8" x14ac:dyDescent="0.2">
      <c r="D19" s="127"/>
    </row>
    <row r="20" spans="1:8" ht="25.5" x14ac:dyDescent="0.2">
      <c r="A20" s="124" t="s">
        <v>13</v>
      </c>
      <c r="B20" s="131" t="s">
        <v>14</v>
      </c>
      <c r="D20" s="129"/>
    </row>
    <row r="21" spans="1:8" x14ac:dyDescent="0.2">
      <c r="B21" s="132" t="s">
        <v>11</v>
      </c>
      <c r="D21" s="129">
        <f>+D16-2.2*2.6*2</f>
        <v>73.260000000000005</v>
      </c>
    </row>
    <row r="22" spans="1:8" x14ac:dyDescent="0.2">
      <c r="B22" s="132" t="s">
        <v>12</v>
      </c>
      <c r="D22" s="129">
        <f>+D17-(13.8*7.6*3.2+1*5.6*2.5)</f>
        <v>950.58400000000006</v>
      </c>
    </row>
    <row r="23" spans="1:8" x14ac:dyDescent="0.2">
      <c r="C23" s="126" t="s">
        <v>82</v>
      </c>
      <c r="D23" s="127">
        <f>SUM(D21:D22)</f>
        <v>1023.8440000000001</v>
      </c>
      <c r="F23" s="128">
        <f>+D23*E23</f>
        <v>0</v>
      </c>
    </row>
    <row r="24" spans="1:8" x14ac:dyDescent="0.2">
      <c r="B24" s="131"/>
      <c r="D24" s="129"/>
      <c r="F24" s="128">
        <f t="shared" ref="F24:F73" si="1">+D24*E24</f>
        <v>0</v>
      </c>
    </row>
    <row r="25" spans="1:8" ht="38.25" x14ac:dyDescent="0.2">
      <c r="A25" s="124" t="s">
        <v>15</v>
      </c>
      <c r="B25" s="138" t="s">
        <v>470</v>
      </c>
      <c r="D25" s="129"/>
      <c r="F25" s="128">
        <f t="shared" si="1"/>
        <v>0</v>
      </c>
    </row>
    <row r="26" spans="1:8" x14ac:dyDescent="0.2">
      <c r="B26" s="132" t="s">
        <v>11</v>
      </c>
      <c r="D26" s="129">
        <f>4*4.8</f>
        <v>19.2</v>
      </c>
    </row>
    <row r="27" spans="1:8" x14ac:dyDescent="0.2">
      <c r="B27" s="132" t="s">
        <v>12</v>
      </c>
      <c r="D27" s="129">
        <f>20*15+7.8*4.5</f>
        <v>335.1</v>
      </c>
    </row>
    <row r="28" spans="1:8" x14ac:dyDescent="0.2">
      <c r="C28" s="126" t="s">
        <v>83</v>
      </c>
      <c r="D28" s="127">
        <f>SUM(D26:D27)</f>
        <v>354.3</v>
      </c>
      <c r="F28" s="128">
        <f>+D28*E28</f>
        <v>0</v>
      </c>
    </row>
    <row r="29" spans="1:8" x14ac:dyDescent="0.2">
      <c r="D29" s="127"/>
      <c r="F29" s="128">
        <f t="shared" si="1"/>
        <v>0</v>
      </c>
    </row>
    <row r="30" spans="1:8" ht="38.25" x14ac:dyDescent="0.2">
      <c r="A30" s="124" t="s">
        <v>17</v>
      </c>
      <c r="B30" s="125" t="s">
        <v>18</v>
      </c>
      <c r="D30" s="127"/>
      <c r="F30" s="128">
        <f t="shared" si="1"/>
        <v>0</v>
      </c>
    </row>
    <row r="31" spans="1:8" x14ac:dyDescent="0.2">
      <c r="B31" s="132" t="s">
        <v>11</v>
      </c>
      <c r="D31" s="129">
        <f>(4*4.8*0.5)*1.1</f>
        <v>10.56</v>
      </c>
    </row>
    <row r="32" spans="1:8" x14ac:dyDescent="0.2">
      <c r="B32" s="132" t="s">
        <v>12</v>
      </c>
      <c r="D32" s="129">
        <f>(20*15*0.5+7.8*4.5*0.5)*1.1</f>
        <v>184.30500000000004</v>
      </c>
    </row>
    <row r="33" spans="1:6" x14ac:dyDescent="0.2">
      <c r="C33" s="126" t="s">
        <v>82</v>
      </c>
      <c r="D33" s="127">
        <f>SUM(D31:D32)</f>
        <v>194.86500000000004</v>
      </c>
    </row>
    <row r="34" spans="1:6" x14ac:dyDescent="0.2">
      <c r="D34" s="127"/>
      <c r="F34" s="128">
        <f t="shared" si="1"/>
        <v>0</v>
      </c>
    </row>
    <row r="35" spans="1:6" ht="38.25" x14ac:dyDescent="0.2">
      <c r="A35" s="124" t="s">
        <v>19</v>
      </c>
      <c r="B35" s="125" t="s">
        <v>20</v>
      </c>
      <c r="D35" s="127"/>
      <c r="F35" s="128">
        <f t="shared" si="1"/>
        <v>0</v>
      </c>
    </row>
    <row r="36" spans="1:6" x14ac:dyDescent="0.2">
      <c r="C36" s="126" t="s">
        <v>82</v>
      </c>
      <c r="D36" s="129">
        <f>((D13/0.2)-11.5*18)*0.3</f>
        <v>107.18999999999998</v>
      </c>
      <c r="F36" s="128">
        <f t="shared" si="1"/>
        <v>0</v>
      </c>
    </row>
    <row r="37" spans="1:6" x14ac:dyDescent="0.2">
      <c r="D37" s="129"/>
      <c r="F37" s="128">
        <f t="shared" si="1"/>
        <v>0</v>
      </c>
    </row>
    <row r="38" spans="1:6" ht="51" x14ac:dyDescent="0.2">
      <c r="A38" s="124" t="s">
        <v>21</v>
      </c>
      <c r="B38" s="125" t="s">
        <v>22</v>
      </c>
      <c r="D38" s="127"/>
      <c r="F38" s="128">
        <f t="shared" si="1"/>
        <v>0</v>
      </c>
    </row>
    <row r="39" spans="1:6" x14ac:dyDescent="0.2">
      <c r="B39" s="134" t="s">
        <v>23</v>
      </c>
      <c r="C39" s="126" t="s">
        <v>82</v>
      </c>
      <c r="D39" s="135">
        <f>(D13-D36)*1.25</f>
        <v>7.0875000000000199</v>
      </c>
      <c r="F39" s="128">
        <f>+D39*E39</f>
        <v>0</v>
      </c>
    </row>
    <row r="40" spans="1:6" x14ac:dyDescent="0.2">
      <c r="B40" s="136" t="s">
        <v>471</v>
      </c>
      <c r="C40" s="126" t="s">
        <v>82</v>
      </c>
      <c r="D40" s="135">
        <f>(D18-D23)*1.25</f>
        <v>451.32000000000005</v>
      </c>
      <c r="F40" s="128">
        <f t="shared" si="1"/>
        <v>0</v>
      </c>
    </row>
    <row r="41" spans="1:6" x14ac:dyDescent="0.2">
      <c r="B41" s="136" t="s">
        <v>214</v>
      </c>
      <c r="C41" s="126" t="s">
        <v>82</v>
      </c>
      <c r="D41" s="135">
        <f>D50</f>
        <v>6.0000000000000009</v>
      </c>
      <c r="F41" s="128">
        <f t="shared" si="1"/>
        <v>0</v>
      </c>
    </row>
    <row r="42" spans="1:6" x14ac:dyDescent="0.2">
      <c r="D42" s="135"/>
      <c r="F42" s="128">
        <f t="shared" si="1"/>
        <v>0</v>
      </c>
    </row>
    <row r="43" spans="1:6" x14ac:dyDescent="0.2">
      <c r="A43" s="137" t="s">
        <v>224</v>
      </c>
      <c r="B43" s="125" t="s">
        <v>25</v>
      </c>
      <c r="D43" s="127"/>
      <c r="F43" s="128">
        <f t="shared" si="1"/>
        <v>0</v>
      </c>
    </row>
    <row r="44" spans="1:6" x14ac:dyDescent="0.2">
      <c r="C44" s="126" t="s">
        <v>83</v>
      </c>
      <c r="D44" s="127">
        <f>+D36/0.3</f>
        <v>357.29999999999995</v>
      </c>
      <c r="F44" s="128">
        <f t="shared" si="1"/>
        <v>0</v>
      </c>
    </row>
    <row r="45" spans="1:6" x14ac:dyDescent="0.2">
      <c r="D45" s="127"/>
      <c r="F45" s="128">
        <f t="shared" si="1"/>
        <v>0</v>
      </c>
    </row>
    <row r="46" spans="1:6" ht="25.5" x14ac:dyDescent="0.2">
      <c r="A46" s="137" t="s">
        <v>24</v>
      </c>
      <c r="B46" s="138" t="s">
        <v>216</v>
      </c>
      <c r="D46" s="127"/>
      <c r="F46" s="128">
        <f t="shared" si="1"/>
        <v>0</v>
      </c>
    </row>
    <row r="47" spans="1:6" x14ac:dyDescent="0.2">
      <c r="C47" s="126" t="s">
        <v>84</v>
      </c>
      <c r="D47" s="127">
        <f>4+20+10</f>
        <v>34</v>
      </c>
      <c r="F47" s="128">
        <f t="shared" si="1"/>
        <v>0</v>
      </c>
    </row>
    <row r="48" spans="1:6" x14ac:dyDescent="0.2">
      <c r="D48" s="127"/>
      <c r="F48" s="128">
        <f t="shared" si="1"/>
        <v>0</v>
      </c>
    </row>
    <row r="49" spans="1:6" ht="25.5" x14ac:dyDescent="0.2">
      <c r="A49" s="137" t="s">
        <v>26</v>
      </c>
      <c r="B49" s="139" t="s">
        <v>215</v>
      </c>
      <c r="D49" s="129"/>
      <c r="F49" s="128">
        <f t="shared" si="1"/>
        <v>0</v>
      </c>
    </row>
    <row r="50" spans="1:6" x14ac:dyDescent="0.2">
      <c r="C50" s="126" t="s">
        <v>82</v>
      </c>
      <c r="D50" s="127">
        <f>(1*4+8*1+6*6)*0.1*1.25</f>
        <v>6.0000000000000009</v>
      </c>
      <c r="F50" s="128">
        <f t="shared" si="1"/>
        <v>0</v>
      </c>
    </row>
    <row r="51" spans="1:6" x14ac:dyDescent="0.2">
      <c r="D51" s="127"/>
      <c r="F51" s="128">
        <f t="shared" si="1"/>
        <v>0</v>
      </c>
    </row>
    <row r="52" spans="1:6" ht="63.75" x14ac:dyDescent="0.2">
      <c r="A52" s="137" t="s">
        <v>28</v>
      </c>
      <c r="B52" s="138" t="s">
        <v>472</v>
      </c>
      <c r="D52" s="127"/>
      <c r="F52" s="128">
        <f t="shared" si="1"/>
        <v>0</v>
      </c>
    </row>
    <row r="53" spans="1:6" x14ac:dyDescent="0.2">
      <c r="C53" s="140" t="s">
        <v>83</v>
      </c>
      <c r="D53" s="127">
        <v>3</v>
      </c>
      <c r="F53" s="128">
        <f t="shared" si="1"/>
        <v>0</v>
      </c>
    </row>
    <row r="54" spans="1:6" x14ac:dyDescent="0.2">
      <c r="D54" s="127"/>
      <c r="F54" s="128">
        <f t="shared" si="1"/>
        <v>0</v>
      </c>
    </row>
    <row r="55" spans="1:6" ht="63.75" x14ac:dyDescent="0.2">
      <c r="A55" s="137" t="s">
        <v>30</v>
      </c>
      <c r="B55" s="138" t="s">
        <v>473</v>
      </c>
      <c r="D55" s="127"/>
      <c r="F55" s="128">
        <f t="shared" si="1"/>
        <v>0</v>
      </c>
    </row>
    <row r="56" spans="1:6" x14ac:dyDescent="0.2">
      <c r="C56" s="126" t="s">
        <v>84</v>
      </c>
      <c r="D56" s="127">
        <v>50</v>
      </c>
      <c r="F56" s="128">
        <f t="shared" si="1"/>
        <v>0</v>
      </c>
    </row>
    <row r="57" spans="1:6" x14ac:dyDescent="0.2">
      <c r="D57" s="127"/>
      <c r="F57" s="128">
        <f t="shared" si="1"/>
        <v>0</v>
      </c>
    </row>
    <row r="58" spans="1:6" ht="89.25" x14ac:dyDescent="0.2">
      <c r="A58" s="137" t="s">
        <v>33</v>
      </c>
      <c r="B58" s="138" t="s">
        <v>222</v>
      </c>
      <c r="D58" s="127"/>
      <c r="F58" s="128">
        <f t="shared" si="1"/>
        <v>0</v>
      </c>
    </row>
    <row r="59" spans="1:6" x14ac:dyDescent="0.2">
      <c r="C59" s="126" t="s">
        <v>84</v>
      </c>
      <c r="D59" s="127">
        <f>D56</f>
        <v>50</v>
      </c>
      <c r="F59" s="128">
        <f t="shared" si="1"/>
        <v>0</v>
      </c>
    </row>
    <row r="60" spans="1:6" x14ac:dyDescent="0.2">
      <c r="D60" s="127"/>
      <c r="F60" s="128">
        <f t="shared" si="1"/>
        <v>0</v>
      </c>
    </row>
    <row r="61" spans="1:6" ht="63.75" x14ac:dyDescent="0.2">
      <c r="A61" s="137" t="s">
        <v>35</v>
      </c>
      <c r="B61" s="138" t="s">
        <v>223</v>
      </c>
      <c r="C61" s="140" t="s">
        <v>29</v>
      </c>
      <c r="D61" s="141">
        <v>1000</v>
      </c>
      <c r="E61" s="180"/>
      <c r="F61" s="128">
        <f t="shared" si="1"/>
        <v>0</v>
      </c>
    </row>
    <row r="62" spans="1:6" x14ac:dyDescent="0.2">
      <c r="A62" s="137"/>
      <c r="B62" s="138"/>
      <c r="C62" s="140"/>
      <c r="D62" s="141"/>
      <c r="E62" s="180"/>
      <c r="F62" s="128">
        <f t="shared" si="1"/>
        <v>0</v>
      </c>
    </row>
    <row r="63" spans="1:6" ht="51" x14ac:dyDescent="0.2">
      <c r="A63" s="137" t="s">
        <v>38</v>
      </c>
      <c r="B63" s="138" t="s">
        <v>31</v>
      </c>
      <c r="C63" s="140" t="s">
        <v>143</v>
      </c>
      <c r="D63" s="141">
        <v>1</v>
      </c>
      <c r="E63" s="180"/>
      <c r="F63" s="128">
        <f t="shared" si="1"/>
        <v>0</v>
      </c>
    </row>
    <row r="64" spans="1:6" x14ac:dyDescent="0.2">
      <c r="A64" s="137"/>
      <c r="B64" s="138"/>
      <c r="C64" s="140"/>
      <c r="D64" s="141"/>
      <c r="E64" s="180"/>
      <c r="F64" s="128">
        <f t="shared" si="1"/>
        <v>0</v>
      </c>
    </row>
    <row r="65" spans="1:6" ht="38.25" x14ac:dyDescent="0.2">
      <c r="A65" s="137" t="s">
        <v>225</v>
      </c>
      <c r="B65" s="138" t="s">
        <v>34</v>
      </c>
      <c r="C65" s="140" t="s">
        <v>143</v>
      </c>
      <c r="D65" s="141">
        <v>1</v>
      </c>
      <c r="E65" s="180"/>
      <c r="F65" s="128">
        <f t="shared" si="1"/>
        <v>0</v>
      </c>
    </row>
    <row r="66" spans="1:6" x14ac:dyDescent="0.2">
      <c r="A66" s="137"/>
      <c r="B66" s="138"/>
      <c r="C66" s="140"/>
      <c r="D66" s="141"/>
      <c r="E66" s="180"/>
      <c r="F66" s="128">
        <f t="shared" si="1"/>
        <v>0</v>
      </c>
    </row>
    <row r="67" spans="1:6" ht="25.5" x14ac:dyDescent="0.2">
      <c r="A67" s="137" t="s">
        <v>226</v>
      </c>
      <c r="B67" s="138" t="s">
        <v>36</v>
      </c>
      <c r="C67" s="140" t="s">
        <v>143</v>
      </c>
      <c r="D67" s="141">
        <v>1</v>
      </c>
      <c r="E67" s="180"/>
      <c r="F67" s="128">
        <f t="shared" si="1"/>
        <v>0</v>
      </c>
    </row>
    <row r="68" spans="1:6" x14ac:dyDescent="0.2">
      <c r="A68" s="137"/>
      <c r="B68" s="138"/>
      <c r="C68" s="140"/>
      <c r="D68" s="141"/>
      <c r="E68" s="180"/>
      <c r="F68" s="128">
        <f t="shared" si="1"/>
        <v>0</v>
      </c>
    </row>
    <row r="69" spans="1:6" ht="25.5" x14ac:dyDescent="0.2">
      <c r="A69" s="137" t="s">
        <v>227</v>
      </c>
      <c r="B69" s="138" t="s">
        <v>37</v>
      </c>
      <c r="C69" s="140" t="s">
        <v>143</v>
      </c>
      <c r="D69" s="141">
        <v>1</v>
      </c>
      <c r="E69" s="180"/>
      <c r="F69" s="128">
        <f t="shared" si="1"/>
        <v>0</v>
      </c>
    </row>
    <row r="70" spans="1:6" x14ac:dyDescent="0.2">
      <c r="A70" s="137"/>
      <c r="B70" s="138"/>
      <c r="C70" s="140"/>
      <c r="D70" s="141"/>
      <c r="E70" s="180"/>
      <c r="F70" s="128">
        <f t="shared" si="1"/>
        <v>0</v>
      </c>
    </row>
    <row r="71" spans="1:6" ht="38.25" x14ac:dyDescent="0.2">
      <c r="A71" s="137" t="s">
        <v>228</v>
      </c>
      <c r="B71" s="138" t="s">
        <v>241</v>
      </c>
      <c r="C71" s="140" t="s">
        <v>143</v>
      </c>
      <c r="D71" s="141">
        <v>1</v>
      </c>
      <c r="E71" s="180"/>
      <c r="F71" s="128">
        <f t="shared" si="1"/>
        <v>0</v>
      </c>
    </row>
    <row r="72" spans="1:6" x14ac:dyDescent="0.2">
      <c r="A72" s="137"/>
      <c r="B72" s="138"/>
      <c r="C72" s="140"/>
      <c r="D72" s="141"/>
      <c r="E72" s="180"/>
      <c r="F72" s="128">
        <f t="shared" si="1"/>
        <v>0</v>
      </c>
    </row>
    <row r="73" spans="1:6" ht="25.5" x14ac:dyDescent="0.2">
      <c r="A73" s="137" t="s">
        <v>229</v>
      </c>
      <c r="B73" s="138" t="s">
        <v>39</v>
      </c>
      <c r="C73" s="140" t="s">
        <v>143</v>
      </c>
      <c r="D73" s="141">
        <v>1</v>
      </c>
      <c r="E73" s="180"/>
      <c r="F73" s="128">
        <f t="shared" si="1"/>
        <v>0</v>
      </c>
    </row>
    <row r="74" spans="1:6" x14ac:dyDescent="0.2">
      <c r="A74" s="137"/>
      <c r="B74" s="138"/>
      <c r="C74" s="140"/>
      <c r="D74" s="141"/>
      <c r="E74" s="180"/>
      <c r="F74" s="142"/>
    </row>
    <row r="75" spans="1:6" ht="38.25" x14ac:dyDescent="0.2">
      <c r="A75" s="137" t="s">
        <v>238</v>
      </c>
      <c r="B75" s="138" t="s">
        <v>40</v>
      </c>
      <c r="C75" s="140"/>
      <c r="D75" s="141"/>
      <c r="E75" s="180"/>
      <c r="F75" s="142"/>
    </row>
    <row r="76" spans="1:6" x14ac:dyDescent="0.2">
      <c r="B76" s="125" t="s">
        <v>41</v>
      </c>
      <c r="D76" s="127"/>
    </row>
    <row r="77" spans="1:6" x14ac:dyDescent="0.2">
      <c r="C77" s="140" t="s">
        <v>341</v>
      </c>
      <c r="D77" s="127"/>
      <c r="F77" s="128">
        <f>ROUND(SUM(F7:F75)*0.1,0)</f>
        <v>0</v>
      </c>
    </row>
    <row r="78" spans="1:6" x14ac:dyDescent="0.2">
      <c r="D78" s="127"/>
    </row>
    <row r="79" spans="1:6" x14ac:dyDescent="0.2">
      <c r="A79" s="143"/>
      <c r="B79" s="401" t="s">
        <v>42</v>
      </c>
      <c r="C79" s="144"/>
      <c r="D79" s="145"/>
      <c r="E79" s="181"/>
      <c r="F79" s="145">
        <f>SUM(F8:F78)</f>
        <v>0</v>
      </c>
    </row>
    <row r="83" spans="1:6" x14ac:dyDescent="0.2">
      <c r="A83" s="120" t="s">
        <v>4</v>
      </c>
      <c r="B83" s="146" t="s">
        <v>2</v>
      </c>
      <c r="C83" s="122"/>
      <c r="D83" s="123"/>
      <c r="E83" s="177"/>
      <c r="F83" s="123"/>
    </row>
    <row r="85" spans="1:6" ht="38.25" x14ac:dyDescent="0.2">
      <c r="A85" s="124" t="s">
        <v>43</v>
      </c>
      <c r="B85" s="131" t="s">
        <v>44</v>
      </c>
    </row>
    <row r="86" spans="1:6" x14ac:dyDescent="0.2">
      <c r="B86" s="147"/>
      <c r="C86" s="140" t="s">
        <v>143</v>
      </c>
      <c r="D86" s="129">
        <v>1</v>
      </c>
      <c r="F86" s="128">
        <f>+D86*E86</f>
        <v>0</v>
      </c>
    </row>
    <row r="87" spans="1:6" x14ac:dyDescent="0.2">
      <c r="B87" s="147"/>
      <c r="F87" s="128">
        <f t="shared" ref="F87:F121" si="2">+D87*E87</f>
        <v>0</v>
      </c>
    </row>
    <row r="88" spans="1:6" ht="25.5" x14ac:dyDescent="0.2">
      <c r="A88" s="124" t="s">
        <v>45</v>
      </c>
      <c r="B88" s="125" t="s">
        <v>46</v>
      </c>
      <c r="F88" s="128">
        <f t="shared" si="2"/>
        <v>0</v>
      </c>
    </row>
    <row r="89" spans="1:6" x14ac:dyDescent="0.2">
      <c r="C89" s="126" t="s">
        <v>83</v>
      </c>
      <c r="D89" s="128">
        <f>5*20+3*8+5.5*6</f>
        <v>157</v>
      </c>
      <c r="F89" s="128">
        <f t="shared" si="2"/>
        <v>0</v>
      </c>
    </row>
    <row r="90" spans="1:6" x14ac:dyDescent="0.2">
      <c r="F90" s="128">
        <f t="shared" si="2"/>
        <v>0</v>
      </c>
    </row>
    <row r="91" spans="1:6" ht="38.25" x14ac:dyDescent="0.2">
      <c r="A91" s="124" t="s">
        <v>47</v>
      </c>
      <c r="B91" s="125" t="s">
        <v>48</v>
      </c>
      <c r="F91" s="128">
        <f t="shared" si="2"/>
        <v>0</v>
      </c>
    </row>
    <row r="92" spans="1:6" x14ac:dyDescent="0.2">
      <c r="C92" s="126" t="s">
        <v>83</v>
      </c>
      <c r="D92" s="128">
        <f>D89</f>
        <v>157</v>
      </c>
      <c r="F92" s="128">
        <f t="shared" si="2"/>
        <v>0</v>
      </c>
    </row>
    <row r="93" spans="1:6" x14ac:dyDescent="0.2">
      <c r="F93" s="128">
        <f t="shared" si="2"/>
        <v>0</v>
      </c>
    </row>
    <row r="94" spans="1:6" ht="51" x14ac:dyDescent="0.2">
      <c r="A94" s="124" t="s">
        <v>49</v>
      </c>
      <c r="B94" s="148" t="s">
        <v>239</v>
      </c>
      <c r="F94" s="128">
        <f t="shared" si="2"/>
        <v>0</v>
      </c>
    </row>
    <row r="95" spans="1:6" x14ac:dyDescent="0.2">
      <c r="C95" s="126" t="s">
        <v>82</v>
      </c>
      <c r="D95" s="128">
        <f>+D92*1.1*0.4</f>
        <v>69.080000000000013</v>
      </c>
      <c r="F95" s="128">
        <f t="shared" si="2"/>
        <v>0</v>
      </c>
    </row>
    <row r="96" spans="1:6" x14ac:dyDescent="0.2">
      <c r="F96" s="128">
        <f t="shared" si="2"/>
        <v>0</v>
      </c>
    </row>
    <row r="97" spans="1:6" ht="63.75" x14ac:dyDescent="0.2">
      <c r="A97" s="124" t="s">
        <v>50</v>
      </c>
      <c r="B97" s="138" t="s">
        <v>240</v>
      </c>
      <c r="F97" s="128">
        <f t="shared" si="2"/>
        <v>0</v>
      </c>
    </row>
    <row r="98" spans="1:6" x14ac:dyDescent="0.2">
      <c r="C98" s="126" t="s">
        <v>82</v>
      </c>
      <c r="D98" s="128">
        <f>8*3*0.3</f>
        <v>7.1999999999999993</v>
      </c>
      <c r="F98" s="128">
        <f t="shared" si="2"/>
        <v>0</v>
      </c>
    </row>
    <row r="99" spans="1:6" x14ac:dyDescent="0.2">
      <c r="F99" s="128">
        <f t="shared" si="2"/>
        <v>0</v>
      </c>
    </row>
    <row r="100" spans="1:6" ht="51" x14ac:dyDescent="0.2">
      <c r="A100" s="124" t="s">
        <v>51</v>
      </c>
      <c r="B100" s="125" t="s">
        <v>52</v>
      </c>
      <c r="F100" s="128">
        <f t="shared" si="2"/>
        <v>0</v>
      </c>
    </row>
    <row r="101" spans="1:6" x14ac:dyDescent="0.2">
      <c r="B101" s="134" t="s">
        <v>53</v>
      </c>
      <c r="C101" s="149"/>
      <c r="F101" s="128">
        <f t="shared" si="2"/>
        <v>0</v>
      </c>
    </row>
    <row r="102" spans="1:6" x14ac:dyDescent="0.2">
      <c r="B102" s="134" t="s">
        <v>54</v>
      </c>
      <c r="C102" s="149"/>
      <c r="F102" s="128">
        <f t="shared" si="2"/>
        <v>0</v>
      </c>
    </row>
    <row r="103" spans="1:6" x14ac:dyDescent="0.2">
      <c r="C103" s="126" t="s">
        <v>83</v>
      </c>
      <c r="D103" s="128">
        <f>20*4+1.5*8+6*5.5+8*2</f>
        <v>141</v>
      </c>
      <c r="F103" s="128">
        <f t="shared" si="2"/>
        <v>0</v>
      </c>
    </row>
    <row r="104" spans="1:6" x14ac:dyDescent="0.2">
      <c r="F104" s="128">
        <f t="shared" si="2"/>
        <v>0</v>
      </c>
    </row>
    <row r="105" spans="1:6" ht="63.75" x14ac:dyDescent="0.2">
      <c r="A105" s="124" t="s">
        <v>55</v>
      </c>
      <c r="B105" s="125" t="s">
        <v>56</v>
      </c>
      <c r="F105" s="128">
        <f t="shared" si="2"/>
        <v>0</v>
      </c>
    </row>
    <row r="106" spans="1:6" x14ac:dyDescent="0.2">
      <c r="C106" s="126" t="s">
        <v>84</v>
      </c>
      <c r="D106" s="128">
        <v>40</v>
      </c>
      <c r="F106" s="128">
        <f t="shared" si="2"/>
        <v>0</v>
      </c>
    </row>
    <row r="107" spans="1:6" x14ac:dyDescent="0.2">
      <c r="F107" s="128">
        <f t="shared" si="2"/>
        <v>0</v>
      </c>
    </row>
    <row r="108" spans="1:6" ht="51" x14ac:dyDescent="0.2">
      <c r="A108" s="124" t="s">
        <v>57</v>
      </c>
      <c r="B108" s="150" t="s">
        <v>58</v>
      </c>
      <c r="F108" s="128">
        <f t="shared" si="2"/>
        <v>0</v>
      </c>
    </row>
    <row r="109" spans="1:6" x14ac:dyDescent="0.2">
      <c r="B109" s="150"/>
      <c r="C109" s="126" t="s">
        <v>84</v>
      </c>
      <c r="D109" s="128">
        <v>6</v>
      </c>
      <c r="F109" s="128">
        <f t="shared" si="2"/>
        <v>0</v>
      </c>
    </row>
    <row r="110" spans="1:6" x14ac:dyDescent="0.2">
      <c r="B110" s="150"/>
      <c r="F110" s="128">
        <f t="shared" si="2"/>
        <v>0</v>
      </c>
    </row>
    <row r="111" spans="1:6" ht="38.25" x14ac:dyDescent="0.2">
      <c r="A111" s="137" t="s">
        <v>59</v>
      </c>
      <c r="B111" s="138" t="s">
        <v>218</v>
      </c>
      <c r="F111" s="128">
        <f t="shared" si="2"/>
        <v>0</v>
      </c>
    </row>
    <row r="112" spans="1:6" x14ac:dyDescent="0.2">
      <c r="C112" s="126" t="s">
        <v>83</v>
      </c>
      <c r="D112" s="128">
        <f>(8+2)*(3+2)</f>
        <v>50</v>
      </c>
      <c r="F112" s="128">
        <f t="shared" si="2"/>
        <v>0</v>
      </c>
    </row>
    <row r="113" spans="1:6" x14ac:dyDescent="0.2">
      <c r="F113" s="128">
        <f t="shared" si="2"/>
        <v>0</v>
      </c>
    </row>
    <row r="114" spans="1:6" ht="25.5" x14ac:dyDescent="0.2">
      <c r="A114" s="137" t="s">
        <v>230</v>
      </c>
      <c r="B114" s="138" t="s">
        <v>219</v>
      </c>
      <c r="F114" s="128">
        <f t="shared" si="2"/>
        <v>0</v>
      </c>
    </row>
    <row r="115" spans="1:6" x14ac:dyDescent="0.2">
      <c r="C115" s="126" t="s">
        <v>82</v>
      </c>
      <c r="D115" s="128">
        <f>8*3*0.1</f>
        <v>2.4000000000000004</v>
      </c>
      <c r="F115" s="128">
        <f t="shared" si="2"/>
        <v>0</v>
      </c>
    </row>
    <row r="116" spans="1:6" x14ac:dyDescent="0.2">
      <c r="F116" s="128">
        <f t="shared" si="2"/>
        <v>0</v>
      </c>
    </row>
    <row r="117" spans="1:6" ht="51" x14ac:dyDescent="0.2">
      <c r="A117" s="151" t="s">
        <v>231</v>
      </c>
      <c r="B117" s="152" t="s">
        <v>217</v>
      </c>
      <c r="C117" s="153"/>
      <c r="D117" s="154"/>
      <c r="E117" s="182"/>
      <c r="F117" s="128">
        <f t="shared" si="2"/>
        <v>0</v>
      </c>
    </row>
    <row r="118" spans="1:6" x14ac:dyDescent="0.2">
      <c r="A118" s="151"/>
      <c r="B118" s="152"/>
      <c r="C118" s="153" t="s">
        <v>16</v>
      </c>
      <c r="D118" s="154">
        <v>3</v>
      </c>
      <c r="E118" s="183"/>
      <c r="F118" s="128">
        <f t="shared" si="2"/>
        <v>0</v>
      </c>
    </row>
    <row r="119" spans="1:6" x14ac:dyDescent="0.2">
      <c r="F119" s="128">
        <f t="shared" si="2"/>
        <v>0</v>
      </c>
    </row>
    <row r="120" spans="1:6" ht="63.75" x14ac:dyDescent="0.2">
      <c r="A120" s="151" t="s">
        <v>232</v>
      </c>
      <c r="B120" s="152" t="s">
        <v>220</v>
      </c>
      <c r="C120" s="153"/>
      <c r="D120" s="154"/>
      <c r="E120" s="182"/>
      <c r="F120" s="128">
        <f t="shared" si="2"/>
        <v>0</v>
      </c>
    </row>
    <row r="121" spans="1:6" x14ac:dyDescent="0.2">
      <c r="A121" s="151"/>
      <c r="B121" s="152"/>
      <c r="C121" s="153" t="s">
        <v>27</v>
      </c>
      <c r="D121" s="154">
        <v>8</v>
      </c>
      <c r="E121" s="183"/>
      <c r="F121" s="128">
        <f t="shared" si="2"/>
        <v>0</v>
      </c>
    </row>
    <row r="122" spans="1:6" x14ac:dyDescent="0.2">
      <c r="B122" s="150"/>
    </row>
    <row r="123" spans="1:6" ht="38.25" x14ac:dyDescent="0.2">
      <c r="A123" s="137" t="s">
        <v>233</v>
      </c>
      <c r="B123" s="125" t="s">
        <v>40</v>
      </c>
      <c r="D123" s="127"/>
    </row>
    <row r="124" spans="1:6" x14ac:dyDescent="0.2">
      <c r="B124" s="125" t="s">
        <v>41</v>
      </c>
      <c r="D124" s="127"/>
    </row>
    <row r="125" spans="1:6" x14ac:dyDescent="0.2">
      <c r="C125" s="140" t="s">
        <v>341</v>
      </c>
      <c r="D125" s="127"/>
      <c r="F125" s="128">
        <f>ROUND(SUM(F84:F123)*0.1,0)</f>
        <v>0</v>
      </c>
    </row>
    <row r="127" spans="1:6" x14ac:dyDescent="0.2">
      <c r="A127" s="143"/>
      <c r="B127" s="403" t="s">
        <v>60</v>
      </c>
      <c r="C127" s="144"/>
      <c r="D127" s="145"/>
      <c r="E127" s="181"/>
      <c r="F127" s="145">
        <f>SUM(F84:F126)</f>
        <v>0</v>
      </c>
    </row>
    <row r="131" spans="1:6" x14ac:dyDescent="0.2">
      <c r="A131" s="120" t="s">
        <v>4</v>
      </c>
      <c r="B131" s="146" t="s">
        <v>3</v>
      </c>
      <c r="C131" s="122"/>
      <c r="D131" s="123"/>
      <c r="E131" s="177"/>
      <c r="F131" s="123"/>
    </row>
    <row r="133" spans="1:6" ht="51" x14ac:dyDescent="0.2">
      <c r="A133" s="124" t="s">
        <v>61</v>
      </c>
      <c r="B133" s="138" t="s">
        <v>201</v>
      </c>
    </row>
    <row r="134" spans="1:6" x14ac:dyDescent="0.2">
      <c r="C134" s="140" t="s">
        <v>143</v>
      </c>
      <c r="D134" s="129">
        <v>1</v>
      </c>
      <c r="F134" s="128">
        <f>+D134*E134</f>
        <v>0</v>
      </c>
    </row>
    <row r="135" spans="1:6" x14ac:dyDescent="0.2">
      <c r="D135" s="155"/>
      <c r="E135" s="184"/>
      <c r="F135" s="128">
        <f t="shared" ref="F135:F161" si="3">+D135*E135</f>
        <v>0</v>
      </c>
    </row>
    <row r="136" spans="1:6" ht="63.75" x14ac:dyDescent="0.2">
      <c r="A136" s="124" t="s">
        <v>63</v>
      </c>
      <c r="B136" s="139" t="s">
        <v>202</v>
      </c>
      <c r="F136" s="128">
        <f t="shared" si="3"/>
        <v>0</v>
      </c>
    </row>
    <row r="137" spans="1:6" x14ac:dyDescent="0.2">
      <c r="C137" s="126" t="s">
        <v>84</v>
      </c>
      <c r="D137" s="127">
        <v>14</v>
      </c>
      <c r="F137" s="128">
        <f t="shared" si="3"/>
        <v>0</v>
      </c>
    </row>
    <row r="138" spans="1:6" x14ac:dyDescent="0.2">
      <c r="D138" s="127"/>
      <c r="F138" s="128">
        <f t="shared" si="3"/>
        <v>0</v>
      </c>
    </row>
    <row r="139" spans="1:6" ht="63.75" x14ac:dyDescent="0.2">
      <c r="A139" s="124" t="s">
        <v>64</v>
      </c>
      <c r="B139" s="139" t="s">
        <v>221</v>
      </c>
      <c r="F139" s="128">
        <f t="shared" si="3"/>
        <v>0</v>
      </c>
    </row>
    <row r="140" spans="1:6" x14ac:dyDescent="0.2">
      <c r="C140" s="126" t="s">
        <v>84</v>
      </c>
      <c r="D140" s="127">
        <v>15</v>
      </c>
      <c r="F140" s="128">
        <f t="shared" si="3"/>
        <v>0</v>
      </c>
    </row>
    <row r="141" spans="1:6" x14ac:dyDescent="0.2">
      <c r="D141" s="127"/>
      <c r="F141" s="128">
        <f t="shared" si="3"/>
        <v>0</v>
      </c>
    </row>
    <row r="142" spans="1:6" ht="38.25" x14ac:dyDescent="0.2">
      <c r="A142" s="124" t="s">
        <v>65</v>
      </c>
      <c r="B142" s="125" t="s">
        <v>66</v>
      </c>
      <c r="F142" s="128">
        <f t="shared" si="3"/>
        <v>0</v>
      </c>
    </row>
    <row r="143" spans="1:6" x14ac:dyDescent="0.2">
      <c r="C143" s="126" t="s">
        <v>82</v>
      </c>
      <c r="D143" s="127">
        <f>0.6*1.5*14</f>
        <v>12.599999999999998</v>
      </c>
      <c r="F143" s="128">
        <f t="shared" si="3"/>
        <v>0</v>
      </c>
    </row>
    <row r="144" spans="1:6" x14ac:dyDescent="0.2">
      <c r="D144" s="127"/>
      <c r="F144" s="128">
        <f t="shared" si="3"/>
        <v>0</v>
      </c>
    </row>
    <row r="145" spans="1:6" ht="38.25" x14ac:dyDescent="0.2">
      <c r="A145" s="124" t="s">
        <v>67</v>
      </c>
      <c r="B145" s="125" t="s">
        <v>68</v>
      </c>
      <c r="D145" s="129"/>
      <c r="F145" s="128">
        <f t="shared" si="3"/>
        <v>0</v>
      </c>
    </row>
    <row r="146" spans="1:6" x14ac:dyDescent="0.2">
      <c r="C146" s="126" t="s">
        <v>83</v>
      </c>
      <c r="D146" s="127">
        <f>+D143/1.5</f>
        <v>8.3999999999999986</v>
      </c>
      <c r="F146" s="128">
        <f t="shared" si="3"/>
        <v>0</v>
      </c>
    </row>
    <row r="147" spans="1:6" x14ac:dyDescent="0.2">
      <c r="D147" s="127"/>
      <c r="F147" s="128">
        <f t="shared" si="3"/>
        <v>0</v>
      </c>
    </row>
    <row r="148" spans="1:6" ht="38.25" x14ac:dyDescent="0.2">
      <c r="A148" s="124" t="s">
        <v>69</v>
      </c>
      <c r="B148" s="125" t="s">
        <v>70</v>
      </c>
      <c r="D148" s="127"/>
      <c r="F148" s="128">
        <f t="shared" si="3"/>
        <v>0</v>
      </c>
    </row>
    <row r="149" spans="1:6" x14ac:dyDescent="0.2">
      <c r="C149" s="126" t="s">
        <v>82</v>
      </c>
      <c r="D149" s="135">
        <f>D143-D152-D158</f>
        <v>10.709999999999997</v>
      </c>
      <c r="F149" s="128">
        <f t="shared" si="3"/>
        <v>0</v>
      </c>
    </row>
    <row r="150" spans="1:6" x14ac:dyDescent="0.2">
      <c r="D150" s="127"/>
      <c r="F150" s="128">
        <f t="shared" si="3"/>
        <v>0</v>
      </c>
    </row>
    <row r="151" spans="1:6" ht="38.25" x14ac:dyDescent="0.2">
      <c r="A151" s="124" t="s">
        <v>71</v>
      </c>
      <c r="B151" s="125" t="s">
        <v>72</v>
      </c>
      <c r="D151" s="127"/>
      <c r="F151" s="128">
        <f t="shared" si="3"/>
        <v>0</v>
      </c>
    </row>
    <row r="152" spans="1:6" x14ac:dyDescent="0.2">
      <c r="C152" s="126" t="s">
        <v>82</v>
      </c>
      <c r="D152" s="135">
        <f>0.6*0.15*14</f>
        <v>1.26</v>
      </c>
      <c r="F152" s="128">
        <f t="shared" si="3"/>
        <v>0</v>
      </c>
    </row>
    <row r="153" spans="1:6" x14ac:dyDescent="0.2">
      <c r="D153" s="135"/>
      <c r="F153" s="128">
        <f t="shared" si="3"/>
        <v>0</v>
      </c>
    </row>
    <row r="154" spans="1:6" ht="38.25" x14ac:dyDescent="0.2">
      <c r="A154" s="124" t="s">
        <v>73</v>
      </c>
      <c r="B154" s="125" t="s">
        <v>74</v>
      </c>
      <c r="D154" s="127"/>
      <c r="F154" s="128">
        <f t="shared" si="3"/>
        <v>0</v>
      </c>
    </row>
    <row r="155" spans="1:6" x14ac:dyDescent="0.2">
      <c r="C155" s="126" t="s">
        <v>82</v>
      </c>
      <c r="D155" s="135">
        <f>(D143-D149)*1.25</f>
        <v>2.3625000000000007</v>
      </c>
      <c r="F155" s="128">
        <f t="shared" si="3"/>
        <v>0</v>
      </c>
    </row>
    <row r="156" spans="1:6" x14ac:dyDescent="0.2">
      <c r="D156" s="135"/>
      <c r="F156" s="128">
        <f t="shared" si="3"/>
        <v>0</v>
      </c>
    </row>
    <row r="157" spans="1:6" ht="25.5" x14ac:dyDescent="0.2">
      <c r="A157" s="124" t="s">
        <v>75</v>
      </c>
      <c r="B157" s="125" t="s">
        <v>76</v>
      </c>
      <c r="C157" s="156"/>
      <c r="D157" s="127"/>
      <c r="F157" s="128">
        <f t="shared" si="3"/>
        <v>0</v>
      </c>
    </row>
    <row r="158" spans="1:6" x14ac:dyDescent="0.2">
      <c r="C158" s="126" t="s">
        <v>82</v>
      </c>
      <c r="D158" s="135">
        <f>0.6*0.3*3.5</f>
        <v>0.63</v>
      </c>
      <c r="F158" s="128">
        <f t="shared" si="3"/>
        <v>0</v>
      </c>
    </row>
    <row r="159" spans="1:6" x14ac:dyDescent="0.2">
      <c r="D159" s="135"/>
      <c r="F159" s="128">
        <f t="shared" si="3"/>
        <v>0</v>
      </c>
    </row>
    <row r="160" spans="1:6" ht="76.5" x14ac:dyDescent="0.2">
      <c r="A160" s="124" t="s">
        <v>77</v>
      </c>
      <c r="B160" s="125" t="s">
        <v>78</v>
      </c>
      <c r="F160" s="128">
        <f t="shared" si="3"/>
        <v>0</v>
      </c>
    </row>
    <row r="161" spans="1:6" x14ac:dyDescent="0.2">
      <c r="C161" s="126" t="s">
        <v>79</v>
      </c>
      <c r="D161" s="127">
        <v>1</v>
      </c>
      <c r="F161" s="128">
        <f t="shared" si="3"/>
        <v>0</v>
      </c>
    </row>
    <row r="162" spans="1:6" x14ac:dyDescent="0.2">
      <c r="D162" s="127"/>
    </row>
    <row r="163" spans="1:6" ht="38.25" x14ac:dyDescent="0.2">
      <c r="A163" s="124" t="s">
        <v>80</v>
      </c>
      <c r="B163" s="125" t="s">
        <v>40</v>
      </c>
      <c r="D163" s="127"/>
    </row>
    <row r="164" spans="1:6" x14ac:dyDescent="0.2">
      <c r="B164" s="125" t="s">
        <v>41</v>
      </c>
      <c r="D164" s="127"/>
    </row>
    <row r="165" spans="1:6" x14ac:dyDescent="0.2">
      <c r="C165" s="140" t="s">
        <v>341</v>
      </c>
      <c r="D165" s="127"/>
      <c r="F165" s="128">
        <f>ROUND(SUM(F131:F163)*0.1,0)</f>
        <v>0</v>
      </c>
    </row>
    <row r="167" spans="1:6" x14ac:dyDescent="0.2">
      <c r="A167" s="143"/>
      <c r="B167" s="403" t="s">
        <v>81</v>
      </c>
      <c r="C167" s="144"/>
      <c r="D167" s="145"/>
      <c r="E167" s="181"/>
      <c r="F167" s="145">
        <f>+SUM(F132:F166)</f>
        <v>0</v>
      </c>
    </row>
    <row r="171" spans="1:6" x14ac:dyDescent="0.2">
      <c r="A171" s="157" t="s">
        <v>4</v>
      </c>
      <c r="B171" s="158" t="s">
        <v>200</v>
      </c>
      <c r="C171" s="159"/>
      <c r="D171" s="160"/>
      <c r="E171" s="185"/>
      <c r="F171" s="160"/>
    </row>
    <row r="172" spans="1:6" x14ac:dyDescent="0.2">
      <c r="A172" s="151"/>
      <c r="B172" s="148"/>
      <c r="C172" s="153"/>
      <c r="D172" s="154"/>
      <c r="E172" s="182"/>
      <c r="F172" s="154"/>
    </row>
    <row r="173" spans="1:6" ht="38.25" x14ac:dyDescent="0.2">
      <c r="A173" s="151" t="s">
        <v>120</v>
      </c>
      <c r="B173" s="148" t="s">
        <v>62</v>
      </c>
      <c r="C173" s="161"/>
      <c r="D173" s="154"/>
      <c r="E173" s="182"/>
      <c r="F173" s="154"/>
    </row>
    <row r="174" spans="1:6" x14ac:dyDescent="0.2">
      <c r="A174" s="151"/>
      <c r="B174" s="162" t="s">
        <v>211</v>
      </c>
      <c r="C174" s="161"/>
      <c r="D174" s="154">
        <v>25</v>
      </c>
      <c r="E174" s="182"/>
      <c r="F174" s="154"/>
    </row>
    <row r="175" spans="1:6" x14ac:dyDescent="0.2">
      <c r="A175" s="151"/>
      <c r="B175" s="162" t="s">
        <v>209</v>
      </c>
      <c r="C175" s="161"/>
      <c r="D175" s="154">
        <v>20</v>
      </c>
      <c r="E175" s="182"/>
      <c r="F175" s="154"/>
    </row>
    <row r="176" spans="1:6" x14ac:dyDescent="0.2">
      <c r="A176" s="151"/>
      <c r="B176" s="162" t="s">
        <v>210</v>
      </c>
      <c r="C176" s="161"/>
      <c r="D176" s="154">
        <v>10</v>
      </c>
      <c r="E176" s="182"/>
      <c r="F176" s="154"/>
    </row>
    <row r="177" spans="1:6" x14ac:dyDescent="0.2">
      <c r="A177" s="151"/>
      <c r="B177" s="162" t="s">
        <v>203</v>
      </c>
      <c r="C177" s="161"/>
      <c r="D177" s="154">
        <v>10</v>
      </c>
      <c r="E177" s="182"/>
      <c r="F177" s="154"/>
    </row>
    <row r="178" spans="1:6" x14ac:dyDescent="0.2">
      <c r="A178" s="151"/>
      <c r="B178" s="162" t="s">
        <v>212</v>
      </c>
      <c r="C178" s="161"/>
      <c r="D178" s="154">
        <v>20</v>
      </c>
      <c r="E178" s="182"/>
      <c r="F178" s="154"/>
    </row>
    <row r="179" spans="1:6" x14ac:dyDescent="0.2">
      <c r="A179" s="151"/>
      <c r="B179" s="148"/>
      <c r="C179" s="153" t="s">
        <v>27</v>
      </c>
      <c r="D179" s="154">
        <f>SUM(D174:D178)</f>
        <v>85</v>
      </c>
      <c r="E179" s="182"/>
      <c r="F179" s="154">
        <f>+D179*E179</f>
        <v>0</v>
      </c>
    </row>
    <row r="180" spans="1:6" x14ac:dyDescent="0.2">
      <c r="A180" s="151"/>
      <c r="B180" s="148"/>
      <c r="C180" s="161"/>
      <c r="D180" s="154"/>
      <c r="E180" s="182"/>
      <c r="F180" s="154"/>
    </row>
    <row r="181" spans="1:6" ht="51" x14ac:dyDescent="0.2">
      <c r="A181" s="151" t="s">
        <v>123</v>
      </c>
      <c r="B181" s="148" t="s">
        <v>213</v>
      </c>
      <c r="C181" s="161"/>
      <c r="D181" s="154"/>
      <c r="E181" s="182"/>
      <c r="F181" s="154"/>
    </row>
    <row r="182" spans="1:6" x14ac:dyDescent="0.2">
      <c r="A182" s="151"/>
      <c r="B182" s="162" t="str">
        <f>B174</f>
        <v>-odpadna voda in povratno blato</v>
      </c>
      <c r="C182" s="161"/>
      <c r="D182" s="154">
        <f>D174*0.6*1.3</f>
        <v>19.5</v>
      </c>
      <c r="E182" s="182"/>
      <c r="F182" s="154"/>
    </row>
    <row r="183" spans="1:6" x14ac:dyDescent="0.2">
      <c r="A183" s="151"/>
      <c r="B183" s="162" t="str">
        <f t="shared" ref="B183:B184" si="4">B175</f>
        <v>-komprimiran zrak</v>
      </c>
      <c r="C183" s="161"/>
      <c r="D183" s="154">
        <f t="shared" ref="D183:D186" si="5">D175*0.6*1.3</f>
        <v>15.600000000000001</v>
      </c>
      <c r="E183" s="182"/>
      <c r="F183" s="154"/>
    </row>
    <row r="184" spans="1:6" x14ac:dyDescent="0.2">
      <c r="A184" s="151"/>
      <c r="B184" s="162" t="str">
        <f t="shared" si="4"/>
        <v>-vodovod</v>
      </c>
      <c r="C184" s="161"/>
      <c r="D184" s="154">
        <f t="shared" si="5"/>
        <v>7.8000000000000007</v>
      </c>
      <c r="E184" s="182"/>
      <c r="F184" s="154"/>
    </row>
    <row r="185" spans="1:6" x14ac:dyDescent="0.2">
      <c r="A185" s="151"/>
      <c r="B185" s="162" t="str">
        <f>B177</f>
        <v>-elektrokabelska kanalizacija</v>
      </c>
      <c r="C185" s="161"/>
      <c r="D185" s="154">
        <f t="shared" si="5"/>
        <v>7.8000000000000007</v>
      </c>
      <c r="E185" s="182"/>
      <c r="F185" s="154"/>
    </row>
    <row r="186" spans="1:6" x14ac:dyDescent="0.2">
      <c r="A186" s="151"/>
      <c r="B186" s="162" t="str">
        <f>B178</f>
        <v>-ozemljitve</v>
      </c>
      <c r="C186" s="161"/>
      <c r="D186" s="154">
        <f t="shared" si="5"/>
        <v>15.600000000000001</v>
      </c>
      <c r="E186" s="182"/>
      <c r="F186" s="154"/>
    </row>
    <row r="187" spans="1:6" x14ac:dyDescent="0.2">
      <c r="A187" s="151"/>
      <c r="B187" s="148"/>
      <c r="C187" s="153" t="s">
        <v>8</v>
      </c>
      <c r="D187" s="154">
        <f>SUM(D182:D186)</f>
        <v>66.300000000000011</v>
      </c>
      <c r="E187" s="182"/>
      <c r="F187" s="154">
        <f>+D187*E187</f>
        <v>0</v>
      </c>
    </row>
    <row r="188" spans="1:6" x14ac:dyDescent="0.2">
      <c r="A188" s="151"/>
      <c r="B188" s="148"/>
      <c r="C188" s="153"/>
      <c r="D188" s="154"/>
      <c r="E188" s="182"/>
      <c r="F188" s="154"/>
    </row>
    <row r="189" spans="1:6" ht="38.25" x14ac:dyDescent="0.2">
      <c r="A189" s="151" t="s">
        <v>158</v>
      </c>
      <c r="B189" s="148" t="s">
        <v>68</v>
      </c>
      <c r="C189" s="163"/>
      <c r="D189" s="164"/>
      <c r="E189" s="182"/>
      <c r="F189" s="154"/>
    </row>
    <row r="190" spans="1:6" x14ac:dyDescent="0.2">
      <c r="A190" s="151"/>
      <c r="B190" s="162" t="str">
        <f>B174</f>
        <v>-odpadna voda in povratno blato</v>
      </c>
      <c r="C190" s="163"/>
      <c r="D190" s="164">
        <f>D174*0.5</f>
        <v>12.5</v>
      </c>
      <c r="E190" s="182"/>
      <c r="F190" s="154"/>
    </row>
    <row r="191" spans="1:6" x14ac:dyDescent="0.2">
      <c r="A191" s="151"/>
      <c r="B191" s="162" t="str">
        <f t="shared" ref="B191:B192" si="6">B175</f>
        <v>-komprimiran zrak</v>
      </c>
      <c r="C191" s="163"/>
      <c r="D191" s="164">
        <f t="shared" ref="D191:D194" si="7">D175*0.5</f>
        <v>10</v>
      </c>
      <c r="E191" s="182"/>
      <c r="F191" s="154"/>
    </row>
    <row r="192" spans="1:6" x14ac:dyDescent="0.2">
      <c r="A192" s="151"/>
      <c r="B192" s="162" t="str">
        <f t="shared" si="6"/>
        <v>-vodovod</v>
      </c>
      <c r="C192" s="163"/>
      <c r="D192" s="164">
        <f t="shared" si="7"/>
        <v>5</v>
      </c>
      <c r="E192" s="182"/>
      <c r="F192" s="154"/>
    </row>
    <row r="193" spans="1:6" x14ac:dyDescent="0.2">
      <c r="A193" s="151"/>
      <c r="B193" s="162" t="str">
        <f>B177</f>
        <v>-elektrokabelska kanalizacija</v>
      </c>
      <c r="C193" s="163"/>
      <c r="D193" s="164">
        <f t="shared" si="7"/>
        <v>5</v>
      </c>
      <c r="E193" s="182"/>
      <c r="F193" s="154"/>
    </row>
    <row r="194" spans="1:6" x14ac:dyDescent="0.2">
      <c r="A194" s="151"/>
      <c r="B194" s="162" t="str">
        <f>B178</f>
        <v>-ozemljitve</v>
      </c>
      <c r="C194" s="163"/>
      <c r="D194" s="164">
        <f t="shared" si="7"/>
        <v>10</v>
      </c>
      <c r="E194" s="182"/>
      <c r="F194" s="154"/>
    </row>
    <row r="195" spans="1:6" x14ac:dyDescent="0.2">
      <c r="A195" s="151"/>
      <c r="B195" s="148"/>
      <c r="C195" s="153" t="s">
        <v>8</v>
      </c>
      <c r="D195" s="154">
        <f>SUM(D190:D194)</f>
        <v>42.5</v>
      </c>
      <c r="E195" s="182"/>
      <c r="F195" s="154">
        <f>+D195*E195</f>
        <v>0</v>
      </c>
    </row>
    <row r="196" spans="1:6" x14ac:dyDescent="0.2">
      <c r="A196" s="151"/>
      <c r="B196" s="148"/>
      <c r="C196" s="165"/>
      <c r="D196" s="166"/>
      <c r="E196" s="182"/>
      <c r="F196" s="154"/>
    </row>
    <row r="197" spans="1:6" ht="38.25" x14ac:dyDescent="0.2">
      <c r="A197" s="151" t="s">
        <v>195</v>
      </c>
      <c r="B197" s="148" t="s">
        <v>70</v>
      </c>
      <c r="C197" s="165"/>
      <c r="D197" s="166"/>
      <c r="E197" s="182"/>
      <c r="F197" s="154"/>
    </row>
    <row r="198" spans="1:6" x14ac:dyDescent="0.2">
      <c r="A198" s="151"/>
      <c r="B198" s="162" t="str">
        <f>B182</f>
        <v>-odpadna voda in povratno blato</v>
      </c>
      <c r="C198" s="163"/>
      <c r="D198" s="164">
        <f>D182-D206</f>
        <v>15.75</v>
      </c>
      <c r="E198" s="182"/>
      <c r="F198" s="154"/>
    </row>
    <row r="199" spans="1:6" x14ac:dyDescent="0.2">
      <c r="A199" s="151"/>
      <c r="B199" s="162" t="str">
        <f>B183</f>
        <v>-komprimiran zrak</v>
      </c>
      <c r="C199" s="163"/>
      <c r="D199" s="164">
        <f t="shared" ref="D199:D202" si="8">D183-D207</f>
        <v>12.600000000000001</v>
      </c>
      <c r="E199" s="182"/>
      <c r="F199" s="154"/>
    </row>
    <row r="200" spans="1:6" x14ac:dyDescent="0.2">
      <c r="A200" s="151"/>
      <c r="B200" s="162" t="str">
        <f>B184</f>
        <v>-vodovod</v>
      </c>
      <c r="C200" s="163"/>
      <c r="D200" s="164">
        <f t="shared" si="8"/>
        <v>6.3000000000000007</v>
      </c>
      <c r="E200" s="182"/>
      <c r="F200" s="154"/>
    </row>
    <row r="201" spans="1:6" x14ac:dyDescent="0.2">
      <c r="A201" s="151"/>
      <c r="B201" s="162" t="str">
        <f>B185</f>
        <v>-elektrokabelska kanalizacija</v>
      </c>
      <c r="C201" s="163"/>
      <c r="D201" s="164">
        <f t="shared" si="8"/>
        <v>6.3000000000000007</v>
      </c>
      <c r="E201" s="182"/>
      <c r="F201" s="154"/>
    </row>
    <row r="202" spans="1:6" x14ac:dyDescent="0.2">
      <c r="A202" s="151"/>
      <c r="B202" s="162" t="str">
        <f>B186</f>
        <v>-ozemljitve</v>
      </c>
      <c r="C202" s="163"/>
      <c r="D202" s="164">
        <f t="shared" si="8"/>
        <v>12.600000000000001</v>
      </c>
      <c r="E202" s="182"/>
      <c r="F202" s="154"/>
    </row>
    <row r="203" spans="1:6" x14ac:dyDescent="0.2">
      <c r="A203" s="151"/>
      <c r="B203" s="148"/>
      <c r="C203" s="153" t="s">
        <v>8</v>
      </c>
      <c r="D203" s="154">
        <f>SUM(D198:D202)</f>
        <v>53.550000000000004</v>
      </c>
      <c r="E203" s="182"/>
      <c r="F203" s="154">
        <f>+D203*E203</f>
        <v>0</v>
      </c>
    </row>
    <row r="204" spans="1:6" x14ac:dyDescent="0.2">
      <c r="A204" s="151"/>
      <c r="B204" s="148"/>
      <c r="C204" s="165"/>
      <c r="D204" s="166"/>
      <c r="E204" s="182"/>
      <c r="F204" s="154"/>
    </row>
    <row r="205" spans="1:6" ht="38.25" x14ac:dyDescent="0.2">
      <c r="A205" s="151" t="s">
        <v>125</v>
      </c>
      <c r="B205" s="148" t="s">
        <v>72</v>
      </c>
      <c r="C205" s="165"/>
      <c r="D205" s="166"/>
      <c r="E205" s="182"/>
      <c r="F205" s="154"/>
    </row>
    <row r="206" spans="1:6" x14ac:dyDescent="0.2">
      <c r="A206" s="151"/>
      <c r="B206" s="162" t="str">
        <f>B190</f>
        <v>-odpadna voda in povratno blato</v>
      </c>
      <c r="C206" s="163"/>
      <c r="D206" s="164">
        <f>D190*0.3</f>
        <v>3.75</v>
      </c>
      <c r="E206" s="182"/>
      <c r="F206" s="154"/>
    </row>
    <row r="207" spans="1:6" x14ac:dyDescent="0.2">
      <c r="A207" s="151"/>
      <c r="B207" s="162" t="str">
        <f t="shared" ref="B207:B208" si="9">B191</f>
        <v>-komprimiran zrak</v>
      </c>
      <c r="C207" s="163"/>
      <c r="D207" s="164">
        <f t="shared" ref="D207:D210" si="10">D191*0.3</f>
        <v>3</v>
      </c>
      <c r="E207" s="182"/>
      <c r="F207" s="154"/>
    </row>
    <row r="208" spans="1:6" x14ac:dyDescent="0.2">
      <c r="A208" s="151"/>
      <c r="B208" s="162" t="str">
        <f t="shared" si="9"/>
        <v>-vodovod</v>
      </c>
      <c r="C208" s="163"/>
      <c r="D208" s="164">
        <f t="shared" si="10"/>
        <v>1.5</v>
      </c>
      <c r="E208" s="182"/>
      <c r="F208" s="154"/>
    </row>
    <row r="209" spans="1:6" x14ac:dyDescent="0.2">
      <c r="A209" s="151"/>
      <c r="B209" s="162" t="str">
        <f>B193</f>
        <v>-elektrokabelska kanalizacija</v>
      </c>
      <c r="C209" s="163"/>
      <c r="D209" s="164">
        <f t="shared" si="10"/>
        <v>1.5</v>
      </c>
      <c r="E209" s="182"/>
      <c r="F209" s="154"/>
    </row>
    <row r="210" spans="1:6" x14ac:dyDescent="0.2">
      <c r="A210" s="151"/>
      <c r="B210" s="162" t="str">
        <f>B194</f>
        <v>-ozemljitve</v>
      </c>
      <c r="C210" s="163"/>
      <c r="D210" s="164">
        <f t="shared" si="10"/>
        <v>3</v>
      </c>
      <c r="E210" s="182"/>
      <c r="F210" s="154"/>
    </row>
    <row r="211" spans="1:6" x14ac:dyDescent="0.2">
      <c r="A211" s="151"/>
      <c r="B211" s="148"/>
      <c r="C211" s="153" t="s">
        <v>8</v>
      </c>
      <c r="D211" s="154">
        <f>SUM(D206:D210)</f>
        <v>12.75</v>
      </c>
      <c r="E211" s="182"/>
      <c r="F211" s="154">
        <f>+D211*E211</f>
        <v>0</v>
      </c>
    </row>
    <row r="212" spans="1:6" x14ac:dyDescent="0.2">
      <c r="A212" s="151"/>
      <c r="B212" s="148"/>
      <c r="C212" s="161"/>
      <c r="D212" s="154"/>
      <c r="E212" s="182"/>
      <c r="F212" s="154"/>
    </row>
    <row r="213" spans="1:6" ht="38.25" x14ac:dyDescent="0.2">
      <c r="A213" s="151" t="s">
        <v>127</v>
      </c>
      <c r="B213" s="148" t="s">
        <v>74</v>
      </c>
      <c r="C213" s="165"/>
      <c r="D213" s="166"/>
      <c r="E213" s="182"/>
      <c r="F213" s="154"/>
    </row>
    <row r="214" spans="1:6" x14ac:dyDescent="0.2">
      <c r="A214" s="151"/>
      <c r="B214" s="148"/>
      <c r="C214" s="153" t="s">
        <v>8</v>
      </c>
      <c r="D214" s="167">
        <f>(D187-D203)*1.25</f>
        <v>15.937500000000009</v>
      </c>
      <c r="E214" s="182"/>
      <c r="F214" s="154">
        <f>+D214*E214</f>
        <v>0</v>
      </c>
    </row>
    <row r="215" spans="1:6" x14ac:dyDescent="0.2">
      <c r="A215" s="151"/>
      <c r="B215" s="148"/>
      <c r="C215" s="153"/>
      <c r="D215" s="167"/>
      <c r="E215" s="182"/>
      <c r="F215" s="154">
        <f t="shared" ref="F215:F220" si="11">+D215*E215</f>
        <v>0</v>
      </c>
    </row>
    <row r="216" spans="1:6" ht="76.5" x14ac:dyDescent="0.2">
      <c r="A216" s="151" t="s">
        <v>204</v>
      </c>
      <c r="B216" s="168" t="s">
        <v>205</v>
      </c>
      <c r="C216" s="153"/>
      <c r="D216" s="154"/>
      <c r="E216" s="182"/>
      <c r="F216" s="154">
        <f t="shared" si="11"/>
        <v>0</v>
      </c>
    </row>
    <row r="217" spans="1:6" x14ac:dyDescent="0.2">
      <c r="A217" s="151"/>
      <c r="B217" s="162"/>
      <c r="C217" s="153" t="s">
        <v>27</v>
      </c>
      <c r="D217" s="166">
        <f>D177</f>
        <v>10</v>
      </c>
      <c r="E217" s="182"/>
      <c r="F217" s="154">
        <f t="shared" si="11"/>
        <v>0</v>
      </c>
    </row>
    <row r="218" spans="1:6" x14ac:dyDescent="0.2">
      <c r="A218" s="151"/>
      <c r="B218" s="162"/>
      <c r="C218" s="153"/>
      <c r="D218" s="166"/>
      <c r="E218" s="182"/>
      <c r="F218" s="154">
        <f t="shared" si="11"/>
        <v>0</v>
      </c>
    </row>
    <row r="219" spans="1:6" ht="25.5" x14ac:dyDescent="0.2">
      <c r="A219" s="151" t="s">
        <v>206</v>
      </c>
      <c r="B219" s="148" t="s">
        <v>76</v>
      </c>
      <c r="C219" s="165"/>
      <c r="D219" s="166"/>
      <c r="E219" s="182"/>
      <c r="F219" s="154">
        <f t="shared" si="11"/>
        <v>0</v>
      </c>
    </row>
    <row r="220" spans="1:6" x14ac:dyDescent="0.2">
      <c r="A220" s="151"/>
      <c r="B220" s="148"/>
      <c r="C220" s="153" t="s">
        <v>8</v>
      </c>
      <c r="D220" s="167">
        <f>0.5*0.3*(D175+D177)</f>
        <v>4.5</v>
      </c>
      <c r="E220" s="182"/>
      <c r="F220" s="154">
        <f t="shared" si="11"/>
        <v>0</v>
      </c>
    </row>
    <row r="221" spans="1:6" x14ac:dyDescent="0.2">
      <c r="A221" s="151"/>
      <c r="B221" s="148"/>
      <c r="C221" s="153"/>
      <c r="D221" s="166"/>
      <c r="E221" s="182"/>
      <c r="F221" s="154"/>
    </row>
    <row r="222" spans="1:6" ht="38.25" x14ac:dyDescent="0.2">
      <c r="A222" s="151" t="s">
        <v>207</v>
      </c>
      <c r="B222" s="148" t="s">
        <v>40</v>
      </c>
      <c r="C222" s="153"/>
      <c r="D222" s="166"/>
      <c r="E222" s="186"/>
      <c r="F222" s="154"/>
    </row>
    <row r="223" spans="1:6" x14ac:dyDescent="0.2">
      <c r="A223" s="169"/>
      <c r="B223" s="148" t="s">
        <v>41</v>
      </c>
      <c r="C223" s="153"/>
      <c r="D223" s="166"/>
      <c r="E223" s="186"/>
      <c r="F223" s="154"/>
    </row>
    <row r="224" spans="1:6" x14ac:dyDescent="0.2">
      <c r="A224" s="169"/>
      <c r="B224" s="170"/>
      <c r="C224" s="153" t="s">
        <v>341</v>
      </c>
      <c r="D224" s="166"/>
      <c r="E224" s="186"/>
      <c r="F224" s="154">
        <f>ROUND(SUM(F172:F222)*0.1,0)</f>
        <v>0</v>
      </c>
    </row>
    <row r="225" spans="1:6" x14ac:dyDescent="0.2">
      <c r="A225" s="171"/>
      <c r="B225" s="172"/>
      <c r="C225" s="173"/>
      <c r="D225" s="154"/>
      <c r="E225" s="182"/>
      <c r="F225" s="154"/>
    </row>
    <row r="226" spans="1:6" x14ac:dyDescent="0.2">
      <c r="A226" s="174"/>
      <c r="B226" s="402" t="s">
        <v>208</v>
      </c>
      <c r="C226" s="175"/>
      <c r="D226" s="176"/>
      <c r="E226" s="187"/>
      <c r="F226" s="176">
        <f>SUM(F172:F225)</f>
        <v>0</v>
      </c>
    </row>
  </sheetData>
  <sheetProtection algorithmName="SHA-512" hashValue="phZ/1UJKN3004rrASc0JtSJEkyGfXbjKOvJTJR4ESUF1NVDxymd1pPnH88fkkQPLgfpRG7S5VBXjIdeHGPrHbg==" saltValue="1bo5qTMdUntxo1kX21ZeGg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&amp;R&amp;"Arial,Navadno"&amp;10&amp;P/&amp;N</oddFooter>
  </headerFooter>
  <rowBreaks count="2" manualBreakCount="2">
    <brk id="121" max="16383" man="1"/>
    <brk id="22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30"/>
  <sheetViews>
    <sheetView showZeros="0" view="pageBreakPreview" zoomScaleNormal="100" zoomScaleSheetLayoutView="100" workbookViewId="0">
      <selection activeCell="E38" sqref="E38"/>
    </sheetView>
  </sheetViews>
  <sheetFormatPr defaultColWidth="9.140625" defaultRowHeight="14.25" x14ac:dyDescent="0.2"/>
  <cols>
    <col min="1" max="1" width="5.7109375" style="188" customWidth="1"/>
    <col min="2" max="2" width="50.7109375" style="190" customWidth="1"/>
    <col min="3" max="3" width="30.7109375" style="190" customWidth="1"/>
    <col min="4" max="16384" width="9.140625" style="77"/>
  </cols>
  <sheetData>
    <row r="7" spans="1:3" x14ac:dyDescent="0.2">
      <c r="B7" s="189"/>
    </row>
    <row r="8" spans="1:3" x14ac:dyDescent="0.2">
      <c r="A8" s="191"/>
      <c r="B8" s="192"/>
    </row>
    <row r="9" spans="1:3" x14ac:dyDescent="0.2">
      <c r="A9" s="20"/>
      <c r="B9" s="192"/>
    </row>
    <row r="10" spans="1:3" x14ac:dyDescent="0.2">
      <c r="A10" s="20"/>
      <c r="B10" s="384"/>
      <c r="C10" s="385"/>
    </row>
    <row r="11" spans="1:3" ht="18" x14ac:dyDescent="0.25">
      <c r="A11" s="193"/>
      <c r="B11" s="386" t="s">
        <v>139</v>
      </c>
      <c r="C11" s="308"/>
    </row>
    <row r="12" spans="1:3" x14ac:dyDescent="0.2">
      <c r="B12" s="110"/>
      <c r="C12" s="308"/>
    </row>
    <row r="13" spans="1:3" x14ac:dyDescent="0.2">
      <c r="B13" s="110"/>
      <c r="C13" s="387"/>
    </row>
    <row r="14" spans="1:3" ht="15" x14ac:dyDescent="0.25">
      <c r="B14" s="388" t="s">
        <v>88</v>
      </c>
      <c r="C14" s="387"/>
    </row>
    <row r="15" spans="1:3" x14ac:dyDescent="0.2">
      <c r="B15" s="110"/>
      <c r="C15" s="387"/>
    </row>
    <row r="16" spans="1:3" x14ac:dyDescent="0.2">
      <c r="B16" s="389" t="s">
        <v>89</v>
      </c>
      <c r="C16" s="390">
        <f>+'02-maščobnik gradbena dela'!F16</f>
        <v>0</v>
      </c>
    </row>
    <row r="17" spans="2:3" x14ac:dyDescent="0.2">
      <c r="B17" s="391"/>
      <c r="C17" s="392"/>
    </row>
    <row r="18" spans="2:3" x14ac:dyDescent="0.2">
      <c r="B18" s="391" t="s">
        <v>90</v>
      </c>
      <c r="C18" s="390">
        <f>+'02-maščobnik gradbena dela'!F62</f>
        <v>0</v>
      </c>
    </row>
    <row r="19" spans="2:3" x14ac:dyDescent="0.2">
      <c r="B19" s="391"/>
      <c r="C19" s="392"/>
    </row>
    <row r="20" spans="2:3" x14ac:dyDescent="0.2">
      <c r="B20" s="391" t="s">
        <v>91</v>
      </c>
      <c r="C20" s="390">
        <f>+'02-maščobnik gradbena dela'!F89</f>
        <v>0</v>
      </c>
    </row>
    <row r="21" spans="2:3" x14ac:dyDescent="0.2">
      <c r="B21" s="391"/>
      <c r="C21" s="392"/>
    </row>
    <row r="22" spans="2:3" x14ac:dyDescent="0.2">
      <c r="B22" s="391" t="s">
        <v>92</v>
      </c>
      <c r="C22" s="390">
        <f>+'02-maščobnik gradbena dela'!F109</f>
        <v>0</v>
      </c>
    </row>
    <row r="23" spans="2:3" x14ac:dyDescent="0.2">
      <c r="B23" s="393"/>
      <c r="C23" s="114"/>
    </row>
    <row r="24" spans="2:3" ht="15" x14ac:dyDescent="0.25">
      <c r="B24" s="394" t="s">
        <v>93</v>
      </c>
      <c r="C24" s="95">
        <f>SUM(C16:C23)</f>
        <v>0</v>
      </c>
    </row>
    <row r="25" spans="2:3" x14ac:dyDescent="0.2">
      <c r="B25" s="391"/>
      <c r="C25" s="390"/>
    </row>
    <row r="26" spans="2:3" x14ac:dyDescent="0.2">
      <c r="B26" s="391"/>
      <c r="C26" s="390"/>
    </row>
    <row r="27" spans="2:3" x14ac:dyDescent="0.2">
      <c r="B27" s="391"/>
      <c r="C27" s="390"/>
    </row>
    <row r="28" spans="2:3" x14ac:dyDescent="0.2">
      <c r="B28" s="391"/>
      <c r="C28" s="395"/>
    </row>
    <row r="29" spans="2:3" ht="15" x14ac:dyDescent="0.25">
      <c r="B29" s="396" t="s">
        <v>94</v>
      </c>
      <c r="C29" s="118">
        <f>SUM(C24:C28)</f>
        <v>0</v>
      </c>
    </row>
    <row r="30" spans="2:3" x14ac:dyDescent="0.2">
      <c r="B30" s="194"/>
      <c r="C30" s="22"/>
    </row>
  </sheetData>
  <sheetProtection algorithmName="SHA-512" hashValue="q4G+iULbFK6qzzBiU1T7AhZfsL5eG/X7n+iSOm7XggL3NlMDTOolMk40Y+D37ortrsktDY6Yp3wQcavE/CwuOA==" saltValue="nKZqkV6AETwNgXgYMigPH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&amp;R&amp;"Arial,Navadno"&amp;10&amp;P/&amp;N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showZeros="0" view="pageBreakPreview" zoomScaleNormal="100" zoomScaleSheetLayoutView="100" workbookViewId="0">
      <pane ySplit="4" topLeftCell="A5" activePane="bottomLeft" state="frozen"/>
      <selection activeCell="C14" sqref="C14"/>
      <selection pane="bottomLeft" activeCell="E7" sqref="E7"/>
    </sheetView>
  </sheetViews>
  <sheetFormatPr defaultRowHeight="15" x14ac:dyDescent="0.25"/>
  <cols>
    <col min="1" max="1" width="5.7109375" style="306" customWidth="1"/>
    <col min="2" max="2" width="30.7109375" style="286" customWidth="1"/>
    <col min="3" max="3" width="10.7109375" style="381" customWidth="1"/>
    <col min="4" max="4" width="10.7109375" style="382" customWidth="1"/>
    <col min="5" max="5" width="12.7109375" style="383" customWidth="1"/>
    <col min="6" max="6" width="15.7109375" style="309" customWidth="1"/>
  </cols>
  <sheetData>
    <row r="1" spans="1:6" ht="18" x14ac:dyDescent="0.25">
      <c r="B1" s="264" t="s">
        <v>460</v>
      </c>
      <c r="C1" s="307"/>
      <c r="D1" s="308"/>
    </row>
    <row r="2" spans="1:6" ht="18" x14ac:dyDescent="0.25">
      <c r="B2" s="264" t="s">
        <v>467</v>
      </c>
      <c r="C2" s="307"/>
      <c r="D2" s="308"/>
    </row>
    <row r="3" spans="1:6" ht="18" x14ac:dyDescent="0.25">
      <c r="B3" s="264"/>
      <c r="C3" s="307"/>
      <c r="D3" s="308"/>
    </row>
    <row r="4" spans="1:6" x14ac:dyDescent="0.25">
      <c r="A4" s="310"/>
      <c r="B4" s="285"/>
      <c r="C4" s="307"/>
      <c r="D4" s="308"/>
      <c r="F4" s="311"/>
    </row>
    <row r="5" spans="1:6" ht="21" x14ac:dyDescent="0.25">
      <c r="A5" s="312"/>
      <c r="B5" s="261" t="s">
        <v>458</v>
      </c>
      <c r="C5" s="267" t="s">
        <v>457</v>
      </c>
      <c r="D5" s="263" t="s">
        <v>459</v>
      </c>
      <c r="E5" s="413" t="s">
        <v>344</v>
      </c>
      <c r="F5" s="262" t="s">
        <v>345</v>
      </c>
    </row>
    <row r="6" spans="1:6" x14ac:dyDescent="0.25">
      <c r="A6" s="312"/>
      <c r="B6" s="313"/>
      <c r="C6" s="314"/>
      <c r="D6" s="315"/>
      <c r="E6" s="316"/>
      <c r="F6" s="317"/>
    </row>
    <row r="7" spans="1:6" x14ac:dyDescent="0.25">
      <c r="A7" s="318" t="s">
        <v>4</v>
      </c>
      <c r="B7" s="287" t="s">
        <v>89</v>
      </c>
      <c r="C7" s="319"/>
      <c r="D7" s="320"/>
      <c r="E7" s="321"/>
      <c r="F7" s="322"/>
    </row>
    <row r="8" spans="1:6" x14ac:dyDescent="0.25">
      <c r="A8" s="323"/>
      <c r="B8" s="324"/>
      <c r="C8" s="325"/>
      <c r="D8" s="326"/>
      <c r="E8" s="327"/>
      <c r="F8" s="328"/>
    </row>
    <row r="9" spans="1:6" ht="42" customHeight="1" x14ac:dyDescent="0.25">
      <c r="A9" s="312" t="s">
        <v>5</v>
      </c>
      <c r="B9" s="313" t="s">
        <v>95</v>
      </c>
      <c r="C9" s="329"/>
      <c r="D9" s="330"/>
      <c r="E9" s="331"/>
      <c r="F9" s="332"/>
    </row>
    <row r="10" spans="1:6" x14ac:dyDescent="0.25">
      <c r="A10" s="312"/>
      <c r="B10" s="313"/>
      <c r="C10" s="329" t="s">
        <v>143</v>
      </c>
      <c r="D10" s="330">
        <v>1</v>
      </c>
      <c r="E10" s="331"/>
      <c r="F10" s="330">
        <f>+D10*E10</f>
        <v>0</v>
      </c>
    </row>
    <row r="11" spans="1:6" x14ac:dyDescent="0.25">
      <c r="A11" s="312"/>
      <c r="B11" s="313"/>
      <c r="C11" s="329"/>
      <c r="D11" s="330"/>
      <c r="E11" s="331"/>
      <c r="F11" s="330">
        <f>+D11*E11</f>
        <v>0</v>
      </c>
    </row>
    <row r="12" spans="1:6" ht="25.5" x14ac:dyDescent="0.25">
      <c r="A12" s="312" t="s">
        <v>6</v>
      </c>
      <c r="B12" s="313" t="s">
        <v>96</v>
      </c>
      <c r="C12" s="329"/>
      <c r="D12" s="330"/>
      <c r="E12" s="331"/>
      <c r="F12" s="330">
        <f>+D12*E12</f>
        <v>0</v>
      </c>
    </row>
    <row r="13" spans="1:6" x14ac:dyDescent="0.25">
      <c r="A13" s="333"/>
      <c r="B13" s="334"/>
      <c r="C13" s="335" t="s">
        <v>79</v>
      </c>
      <c r="D13" s="330">
        <v>8</v>
      </c>
      <c r="E13" s="331"/>
      <c r="F13" s="330">
        <f>+D13*E13</f>
        <v>0</v>
      </c>
    </row>
    <row r="14" spans="1:6" x14ac:dyDescent="0.25">
      <c r="A14" s="333"/>
      <c r="B14" s="334"/>
      <c r="C14" s="335"/>
      <c r="D14" s="330"/>
      <c r="E14" s="331"/>
      <c r="F14" s="330"/>
    </row>
    <row r="15" spans="1:6" x14ac:dyDescent="0.25">
      <c r="A15" s="312"/>
      <c r="B15" s="313"/>
      <c r="C15" s="329"/>
      <c r="D15" s="336"/>
      <c r="E15" s="331"/>
      <c r="F15" s="330"/>
    </row>
    <row r="16" spans="1:6" x14ac:dyDescent="0.25">
      <c r="A16" s="337"/>
      <c r="B16" s="299" t="s">
        <v>97</v>
      </c>
      <c r="C16" s="338"/>
      <c r="D16" s="339"/>
      <c r="E16" s="340"/>
      <c r="F16" s="339">
        <f>SUM(F8:F15)</f>
        <v>0</v>
      </c>
    </row>
    <row r="17" spans="1:6" x14ac:dyDescent="0.25">
      <c r="A17" s="312"/>
      <c r="B17" s="313"/>
      <c r="C17" s="329"/>
      <c r="D17" s="330"/>
      <c r="E17" s="331"/>
      <c r="F17" s="330"/>
    </row>
    <row r="18" spans="1:6" x14ac:dyDescent="0.25">
      <c r="A18" s="312"/>
      <c r="B18" s="313"/>
      <c r="C18" s="329"/>
      <c r="D18" s="330"/>
      <c r="E18" s="331"/>
      <c r="F18" s="330"/>
    </row>
    <row r="19" spans="1:6" x14ac:dyDescent="0.25">
      <c r="A19" s="323"/>
      <c r="B19" s="324"/>
      <c r="C19" s="341"/>
      <c r="D19" s="342"/>
      <c r="E19" s="343"/>
      <c r="F19" s="342"/>
    </row>
    <row r="20" spans="1:6" x14ac:dyDescent="0.25">
      <c r="A20" s="318" t="s">
        <v>4</v>
      </c>
      <c r="B20" s="287" t="s">
        <v>98</v>
      </c>
      <c r="C20" s="344"/>
      <c r="D20" s="345"/>
      <c r="E20" s="346"/>
      <c r="F20" s="345"/>
    </row>
    <row r="21" spans="1:6" x14ac:dyDescent="0.25">
      <c r="A21" s="312"/>
      <c r="B21" s="313"/>
      <c r="C21" s="329"/>
      <c r="D21" s="330"/>
      <c r="E21" s="331"/>
      <c r="F21" s="330"/>
    </row>
    <row r="22" spans="1:6" ht="25.5" x14ac:dyDescent="0.25">
      <c r="A22" s="312"/>
      <c r="B22" s="313" t="s">
        <v>99</v>
      </c>
      <c r="C22" s="329"/>
      <c r="D22" s="330"/>
      <c r="E22" s="331"/>
      <c r="F22" s="330"/>
    </row>
    <row r="23" spans="1:6" x14ac:dyDescent="0.25">
      <c r="A23" s="312"/>
      <c r="B23" s="313"/>
      <c r="C23" s="329"/>
      <c r="D23" s="330"/>
      <c r="E23" s="331"/>
      <c r="F23" s="330"/>
    </row>
    <row r="24" spans="1:6" x14ac:dyDescent="0.25">
      <c r="A24" s="312"/>
      <c r="B24" s="313"/>
      <c r="C24" s="329"/>
      <c r="D24" s="330"/>
      <c r="E24" s="331"/>
      <c r="F24" s="330"/>
    </row>
    <row r="25" spans="1:6" x14ac:dyDescent="0.25">
      <c r="A25" s="323"/>
      <c r="B25" s="324"/>
      <c r="C25" s="341"/>
      <c r="D25" s="336"/>
      <c r="E25" s="343"/>
      <c r="F25" s="342"/>
    </row>
    <row r="26" spans="1:6" x14ac:dyDescent="0.25">
      <c r="A26" s="318" t="s">
        <v>4</v>
      </c>
      <c r="B26" s="287" t="s">
        <v>90</v>
      </c>
      <c r="C26" s="344"/>
      <c r="D26" s="345"/>
      <c r="E26" s="346"/>
      <c r="F26" s="345"/>
    </row>
    <row r="27" spans="1:6" x14ac:dyDescent="0.25">
      <c r="A27" s="312"/>
      <c r="B27" s="313"/>
      <c r="C27" s="329"/>
      <c r="D27" s="330"/>
      <c r="E27" s="331"/>
      <c r="F27" s="330"/>
    </row>
    <row r="28" spans="1:6" ht="38.25" x14ac:dyDescent="0.25">
      <c r="A28" s="312" t="s">
        <v>61</v>
      </c>
      <c r="B28" s="313" t="s">
        <v>100</v>
      </c>
      <c r="C28" s="329"/>
      <c r="D28" s="336"/>
      <c r="E28" s="331"/>
      <c r="F28" s="330"/>
    </row>
    <row r="29" spans="1:6" x14ac:dyDescent="0.25">
      <c r="A29" s="312"/>
      <c r="B29" s="313" t="s">
        <v>101</v>
      </c>
      <c r="C29" s="329"/>
      <c r="D29" s="336"/>
      <c r="E29" s="331"/>
      <c r="F29" s="330"/>
    </row>
    <row r="30" spans="1:6" x14ac:dyDescent="0.25">
      <c r="A30" s="312"/>
      <c r="C30" s="329" t="s">
        <v>82</v>
      </c>
      <c r="D30" s="347">
        <f>0.1*2.7*3.1</f>
        <v>0.83700000000000008</v>
      </c>
      <c r="E30" s="348"/>
      <c r="F30" s="330">
        <f t="shared" ref="F30:F60" si="0">+D30*E30</f>
        <v>0</v>
      </c>
    </row>
    <row r="31" spans="1:6" x14ac:dyDescent="0.25">
      <c r="A31" s="312"/>
      <c r="C31" s="329"/>
      <c r="D31" s="336"/>
      <c r="E31" s="348"/>
      <c r="F31" s="330">
        <f t="shared" si="0"/>
        <v>0</v>
      </c>
    </row>
    <row r="32" spans="1:6" ht="38.25" x14ac:dyDescent="0.25">
      <c r="A32" s="312" t="s">
        <v>63</v>
      </c>
      <c r="B32" s="313" t="s">
        <v>102</v>
      </c>
      <c r="C32" s="329"/>
      <c r="D32" s="336"/>
      <c r="E32" s="331"/>
      <c r="F32" s="330">
        <f t="shared" si="0"/>
        <v>0</v>
      </c>
    </row>
    <row r="33" spans="1:6" ht="25.5" x14ac:dyDescent="0.25">
      <c r="A33" s="312"/>
      <c r="B33" s="313" t="s">
        <v>468</v>
      </c>
      <c r="C33" s="329"/>
      <c r="D33" s="336"/>
      <c r="E33" s="331"/>
      <c r="F33" s="330">
        <f t="shared" si="0"/>
        <v>0</v>
      </c>
    </row>
    <row r="34" spans="1:6" x14ac:dyDescent="0.25">
      <c r="A34" s="312"/>
      <c r="B34" s="313" t="s">
        <v>103</v>
      </c>
      <c r="C34" s="329"/>
      <c r="D34" s="349"/>
      <c r="E34" s="331"/>
      <c r="F34" s="330">
        <f t="shared" si="0"/>
        <v>0</v>
      </c>
    </row>
    <row r="35" spans="1:6" x14ac:dyDescent="0.25">
      <c r="A35" s="312"/>
      <c r="B35" s="313" t="s">
        <v>104</v>
      </c>
      <c r="C35" s="329"/>
      <c r="D35" s="350">
        <f>0.3*2.5*2.9</f>
        <v>2.1749999999999998</v>
      </c>
      <c r="E35" s="331"/>
      <c r="F35" s="330">
        <f t="shared" si="0"/>
        <v>0</v>
      </c>
    </row>
    <row r="36" spans="1:6" x14ac:dyDescent="0.25">
      <c r="A36" s="312"/>
      <c r="B36" s="313" t="s">
        <v>105</v>
      </c>
      <c r="C36" s="329"/>
      <c r="D36" s="350"/>
      <c r="E36" s="331"/>
      <c r="F36" s="330">
        <f t="shared" si="0"/>
        <v>0</v>
      </c>
    </row>
    <row r="37" spans="1:6" x14ac:dyDescent="0.25">
      <c r="A37" s="312"/>
      <c r="B37" s="313" t="s">
        <v>191</v>
      </c>
      <c r="C37" s="329"/>
      <c r="D37" s="350">
        <f>0.25*(1.4*2+0.4*2)</f>
        <v>0.89999999999999991</v>
      </c>
      <c r="E37" s="331"/>
      <c r="F37" s="330">
        <f t="shared" si="0"/>
        <v>0</v>
      </c>
    </row>
    <row r="38" spans="1:6" x14ac:dyDescent="0.25">
      <c r="A38" s="312"/>
      <c r="B38" s="313" t="s">
        <v>106</v>
      </c>
      <c r="C38" s="329"/>
      <c r="D38" s="350">
        <f>0.3*3.5*2.3*2</f>
        <v>4.83</v>
      </c>
      <c r="E38" s="331"/>
      <c r="F38" s="330">
        <f t="shared" si="0"/>
        <v>0</v>
      </c>
    </row>
    <row r="39" spans="1:6" x14ac:dyDescent="0.25">
      <c r="A39" s="312"/>
      <c r="B39" s="313" t="s">
        <v>107</v>
      </c>
      <c r="C39" s="329"/>
      <c r="D39" s="350">
        <f>0.3*3.5*1.9*2</f>
        <v>3.9899999999999998</v>
      </c>
      <c r="E39" s="331"/>
      <c r="F39" s="330">
        <f t="shared" si="0"/>
        <v>0</v>
      </c>
    </row>
    <row r="40" spans="1:6" x14ac:dyDescent="0.25">
      <c r="A40" s="312"/>
      <c r="C40" s="329" t="s">
        <v>82</v>
      </c>
      <c r="D40" s="336">
        <f>SUM(D34:D39)</f>
        <v>11.895</v>
      </c>
      <c r="E40" s="351"/>
      <c r="F40" s="330">
        <f t="shared" si="0"/>
        <v>0</v>
      </c>
    </row>
    <row r="41" spans="1:6" x14ac:dyDescent="0.25">
      <c r="A41" s="312"/>
      <c r="C41" s="329"/>
      <c r="D41" s="336"/>
      <c r="E41" s="351"/>
      <c r="F41" s="330">
        <f t="shared" si="0"/>
        <v>0</v>
      </c>
    </row>
    <row r="42" spans="1:6" ht="38.25" x14ac:dyDescent="0.25">
      <c r="A42" s="312" t="s">
        <v>67</v>
      </c>
      <c r="B42" s="313" t="s">
        <v>108</v>
      </c>
      <c r="C42" s="335"/>
      <c r="D42" s="352"/>
      <c r="E42" s="351"/>
      <c r="F42" s="330">
        <f t="shared" si="0"/>
        <v>0</v>
      </c>
    </row>
    <row r="43" spans="1:6" x14ac:dyDescent="0.25">
      <c r="A43" s="312"/>
      <c r="B43" s="313" t="s">
        <v>192</v>
      </c>
      <c r="C43" s="335"/>
      <c r="D43" s="353">
        <f>0.5*2*0.4+1.6*2*0.6</f>
        <v>2.3199999999999998</v>
      </c>
      <c r="E43" s="351"/>
      <c r="F43" s="330">
        <f t="shared" si="0"/>
        <v>0</v>
      </c>
    </row>
    <row r="44" spans="1:6" x14ac:dyDescent="0.25">
      <c r="A44" s="333"/>
      <c r="B44" s="354"/>
      <c r="C44" s="335" t="s">
        <v>82</v>
      </c>
      <c r="D44" s="336">
        <f>SUM(D43:D43)</f>
        <v>2.3199999999999998</v>
      </c>
      <c r="E44" s="351"/>
      <c r="F44" s="330">
        <f t="shared" si="0"/>
        <v>0</v>
      </c>
    </row>
    <row r="45" spans="1:6" x14ac:dyDescent="0.25">
      <c r="A45" s="312"/>
      <c r="C45" s="329"/>
      <c r="D45" s="336"/>
      <c r="E45" s="351"/>
      <c r="F45" s="330">
        <f t="shared" si="0"/>
        <v>0</v>
      </c>
    </row>
    <row r="46" spans="1:6" ht="76.5" x14ac:dyDescent="0.25">
      <c r="A46" s="312" t="s">
        <v>69</v>
      </c>
      <c r="B46" s="313" t="s">
        <v>109</v>
      </c>
      <c r="C46" s="335"/>
      <c r="D46" s="355"/>
      <c r="E46" s="351"/>
      <c r="F46" s="330">
        <f t="shared" si="0"/>
        <v>0</v>
      </c>
    </row>
    <row r="47" spans="1:6" x14ac:dyDescent="0.25">
      <c r="A47" s="333"/>
      <c r="B47" s="356" t="s">
        <v>110</v>
      </c>
      <c r="C47" s="335" t="s">
        <v>82</v>
      </c>
      <c r="D47" s="355">
        <v>0.5</v>
      </c>
      <c r="E47" s="351"/>
      <c r="F47" s="330">
        <f t="shared" si="0"/>
        <v>0</v>
      </c>
    </row>
    <row r="48" spans="1:6" x14ac:dyDescent="0.25">
      <c r="A48" s="333"/>
      <c r="B48" s="356"/>
      <c r="C48" s="335"/>
      <c r="D48" s="355"/>
      <c r="E48" s="351"/>
      <c r="F48" s="330">
        <f t="shared" si="0"/>
        <v>0</v>
      </c>
    </row>
    <row r="49" spans="1:6" ht="63.75" x14ac:dyDescent="0.25">
      <c r="A49" s="357" t="s">
        <v>71</v>
      </c>
      <c r="B49" s="291" t="s">
        <v>237</v>
      </c>
      <c r="C49" s="358"/>
      <c r="D49" s="336"/>
      <c r="E49" s="359"/>
      <c r="F49" s="330">
        <f t="shared" si="0"/>
        <v>0</v>
      </c>
    </row>
    <row r="50" spans="1:6" x14ac:dyDescent="0.25">
      <c r="A50" s="357"/>
      <c r="B50" s="291"/>
      <c r="C50" s="358"/>
      <c r="D50" s="336"/>
      <c r="E50" s="359"/>
      <c r="F50" s="330">
        <f t="shared" si="0"/>
        <v>0</v>
      </c>
    </row>
    <row r="51" spans="1:6" x14ac:dyDescent="0.25">
      <c r="A51" s="357"/>
      <c r="B51" s="292"/>
      <c r="C51" s="358" t="s">
        <v>84</v>
      </c>
      <c r="D51" s="355">
        <f>4*1.2*2</f>
        <v>9.6</v>
      </c>
      <c r="E51" s="360"/>
      <c r="F51" s="330">
        <f t="shared" si="0"/>
        <v>0</v>
      </c>
    </row>
    <row r="52" spans="1:6" x14ac:dyDescent="0.25">
      <c r="A52" s="333"/>
      <c r="B52" s="354"/>
      <c r="C52" s="335"/>
      <c r="D52" s="355"/>
      <c r="E52" s="351"/>
      <c r="F52" s="330">
        <f t="shared" si="0"/>
        <v>0</v>
      </c>
    </row>
    <row r="53" spans="1:6" ht="89.25" x14ac:dyDescent="0.25">
      <c r="A53" s="312" t="s">
        <v>73</v>
      </c>
      <c r="B53" s="313" t="s">
        <v>111</v>
      </c>
      <c r="C53" s="329"/>
      <c r="D53" s="336"/>
      <c r="E53" s="331"/>
      <c r="F53" s="330">
        <f t="shared" si="0"/>
        <v>0</v>
      </c>
    </row>
    <row r="54" spans="1:6" x14ac:dyDescent="0.25">
      <c r="A54" s="312"/>
      <c r="B54" s="313" t="s">
        <v>112</v>
      </c>
      <c r="C54" s="329"/>
      <c r="D54" s="336"/>
      <c r="E54" s="331"/>
      <c r="F54" s="330">
        <f t="shared" si="0"/>
        <v>0</v>
      </c>
    </row>
    <row r="55" spans="1:6" x14ac:dyDescent="0.25">
      <c r="A55" s="312"/>
      <c r="C55" s="329" t="s">
        <v>84</v>
      </c>
      <c r="D55" s="355">
        <f>2.3+1.9+2.3+1.9</f>
        <v>8.3999999999999986</v>
      </c>
      <c r="E55" s="351"/>
      <c r="F55" s="330">
        <f t="shared" si="0"/>
        <v>0</v>
      </c>
    </row>
    <row r="56" spans="1:6" x14ac:dyDescent="0.25">
      <c r="A56" s="312"/>
      <c r="C56" s="329"/>
      <c r="D56" s="347"/>
      <c r="E56" s="351"/>
      <c r="F56" s="330">
        <f t="shared" si="0"/>
        <v>0</v>
      </c>
    </row>
    <row r="57" spans="1:6" ht="38.25" x14ac:dyDescent="0.25">
      <c r="A57" s="312" t="s">
        <v>75</v>
      </c>
      <c r="B57" s="313" t="s">
        <v>113</v>
      </c>
      <c r="C57" s="329"/>
      <c r="D57" s="336"/>
      <c r="E57" s="361"/>
      <c r="F57" s="330">
        <f t="shared" si="0"/>
        <v>0</v>
      </c>
    </row>
    <row r="58" spans="1:6" x14ac:dyDescent="0.25">
      <c r="A58" s="312"/>
      <c r="B58" s="313" t="s">
        <v>114</v>
      </c>
      <c r="C58" s="329" t="s">
        <v>115</v>
      </c>
      <c r="D58" s="362">
        <v>720</v>
      </c>
      <c r="E58" s="331"/>
      <c r="F58" s="330">
        <f t="shared" si="0"/>
        <v>0</v>
      </c>
    </row>
    <row r="59" spans="1:6" x14ac:dyDescent="0.25">
      <c r="A59" s="312"/>
      <c r="B59" s="313" t="s">
        <v>116</v>
      </c>
      <c r="C59" s="329" t="s">
        <v>115</v>
      </c>
      <c r="D59" s="362">
        <v>254</v>
      </c>
      <c r="E59" s="331"/>
      <c r="F59" s="330">
        <f t="shared" si="0"/>
        <v>0</v>
      </c>
    </row>
    <row r="60" spans="1:6" x14ac:dyDescent="0.25">
      <c r="A60" s="312"/>
      <c r="B60" s="313" t="s">
        <v>117</v>
      </c>
      <c r="C60" s="329" t="s">
        <v>115</v>
      </c>
      <c r="D60" s="362">
        <v>789</v>
      </c>
      <c r="E60" s="331"/>
      <c r="F60" s="330">
        <f t="shared" si="0"/>
        <v>0</v>
      </c>
    </row>
    <row r="61" spans="1:6" x14ac:dyDescent="0.25">
      <c r="A61" s="312"/>
      <c r="B61" s="313"/>
      <c r="C61" s="329"/>
      <c r="D61" s="336"/>
      <c r="E61" s="361"/>
      <c r="F61" s="330"/>
    </row>
    <row r="62" spans="1:6" x14ac:dyDescent="0.25">
      <c r="A62" s="337"/>
      <c r="B62" s="289" t="s">
        <v>118</v>
      </c>
      <c r="C62" s="338"/>
      <c r="D62" s="339"/>
      <c r="E62" s="340"/>
      <c r="F62" s="339">
        <f>+SUM(F29:F61)</f>
        <v>0</v>
      </c>
    </row>
    <row r="63" spans="1:6" x14ac:dyDescent="0.25">
      <c r="A63" s="312"/>
      <c r="B63" s="313"/>
      <c r="C63" s="329"/>
      <c r="D63" s="330"/>
      <c r="E63" s="331"/>
      <c r="F63" s="330"/>
    </row>
    <row r="64" spans="1:6" x14ac:dyDescent="0.25">
      <c r="A64" s="312"/>
      <c r="B64" s="313"/>
      <c r="C64" s="329"/>
      <c r="D64" s="330"/>
      <c r="E64" s="331"/>
      <c r="F64" s="330"/>
    </row>
    <row r="65" spans="1:6" x14ac:dyDescent="0.25">
      <c r="A65" s="312"/>
      <c r="B65" s="313"/>
      <c r="C65" s="329"/>
      <c r="D65" s="330"/>
      <c r="E65" s="331"/>
      <c r="F65" s="330"/>
    </row>
    <row r="66" spans="1:6" x14ac:dyDescent="0.25">
      <c r="A66" s="318" t="s">
        <v>4</v>
      </c>
      <c r="B66" s="293" t="s">
        <v>91</v>
      </c>
      <c r="C66" s="344"/>
      <c r="D66" s="345"/>
      <c r="E66" s="346"/>
      <c r="F66" s="345"/>
    </row>
    <row r="67" spans="1:6" x14ac:dyDescent="0.25">
      <c r="A67" s="312"/>
      <c r="B67" s="313"/>
      <c r="C67" s="329"/>
      <c r="D67" s="330"/>
      <c r="E67" s="331"/>
      <c r="F67" s="330"/>
    </row>
    <row r="68" spans="1:6" ht="51" x14ac:dyDescent="0.25">
      <c r="A68" s="312"/>
      <c r="B68" s="313" t="s">
        <v>119</v>
      </c>
      <c r="C68" s="329"/>
      <c r="D68" s="330"/>
      <c r="E68" s="331"/>
      <c r="F68" s="330"/>
    </row>
    <row r="69" spans="1:6" x14ac:dyDescent="0.25">
      <c r="A69" s="312"/>
      <c r="B69" s="313"/>
      <c r="C69" s="329"/>
      <c r="D69" s="363"/>
      <c r="E69" s="331"/>
      <c r="F69" s="330"/>
    </row>
    <row r="70" spans="1:6" ht="25.5" x14ac:dyDescent="0.25">
      <c r="A70" s="312" t="s">
        <v>120</v>
      </c>
      <c r="B70" s="313" t="s">
        <v>121</v>
      </c>
      <c r="C70" s="329"/>
      <c r="D70" s="336"/>
      <c r="E70" s="331"/>
      <c r="F70" s="330"/>
    </row>
    <row r="71" spans="1:6" x14ac:dyDescent="0.25">
      <c r="A71" s="312"/>
      <c r="B71" s="313" t="s">
        <v>122</v>
      </c>
      <c r="C71" s="329"/>
      <c r="D71" s="336"/>
      <c r="E71" s="331"/>
      <c r="F71" s="330"/>
    </row>
    <row r="72" spans="1:6" x14ac:dyDescent="0.25">
      <c r="A72" s="312"/>
      <c r="B72" s="364"/>
      <c r="C72" s="329" t="s">
        <v>83</v>
      </c>
      <c r="D72" s="347">
        <f>0.3*(2.5+2.9)*2</f>
        <v>3.24</v>
      </c>
      <c r="E72" s="348"/>
      <c r="F72" s="330">
        <f t="shared" ref="F72:F87" si="1">+D72*E72</f>
        <v>0</v>
      </c>
    </row>
    <row r="73" spans="1:6" x14ac:dyDescent="0.25">
      <c r="A73" s="312"/>
      <c r="B73" s="364"/>
      <c r="C73" s="329"/>
      <c r="D73" s="347"/>
      <c r="E73" s="348"/>
      <c r="F73" s="330">
        <f t="shared" si="1"/>
        <v>0</v>
      </c>
    </row>
    <row r="74" spans="1:6" ht="25.5" x14ac:dyDescent="0.25">
      <c r="A74" s="365" t="s">
        <v>123</v>
      </c>
      <c r="B74" s="286" t="s">
        <v>193</v>
      </c>
      <c r="C74" s="366"/>
      <c r="D74" s="349"/>
      <c r="E74" s="180"/>
      <c r="F74" s="330">
        <f t="shared" si="1"/>
        <v>0</v>
      </c>
    </row>
    <row r="75" spans="1:6" x14ac:dyDescent="0.25">
      <c r="A75" s="365"/>
      <c r="B75" s="286" t="s">
        <v>194</v>
      </c>
      <c r="C75" s="366"/>
      <c r="D75" s="367"/>
      <c r="E75" s="180"/>
      <c r="F75" s="330">
        <f t="shared" si="1"/>
        <v>0</v>
      </c>
    </row>
    <row r="76" spans="1:6" x14ac:dyDescent="0.25">
      <c r="A76" s="365"/>
      <c r="C76" s="366" t="s">
        <v>83</v>
      </c>
      <c r="D76" s="368">
        <f>1.5</f>
        <v>1.5</v>
      </c>
      <c r="E76" s="180"/>
      <c r="F76" s="330">
        <f t="shared" si="1"/>
        <v>0</v>
      </c>
    </row>
    <row r="77" spans="1:6" x14ac:dyDescent="0.25">
      <c r="A77" s="312"/>
      <c r="B77" s="313"/>
      <c r="C77" s="329"/>
      <c r="D77" s="363"/>
      <c r="E77" s="331"/>
      <c r="F77" s="330">
        <f t="shared" si="1"/>
        <v>0</v>
      </c>
    </row>
    <row r="78" spans="1:6" ht="25.5" x14ac:dyDescent="0.25">
      <c r="A78" s="312" t="s">
        <v>158</v>
      </c>
      <c r="B78" s="313" t="s">
        <v>196</v>
      </c>
      <c r="C78" s="329"/>
      <c r="D78" s="349"/>
      <c r="E78" s="331"/>
      <c r="F78" s="330">
        <f t="shared" si="1"/>
        <v>0</v>
      </c>
    </row>
    <row r="79" spans="1:6" x14ac:dyDescent="0.25">
      <c r="A79" s="312"/>
      <c r="B79" s="313" t="s">
        <v>197</v>
      </c>
      <c r="C79" s="329"/>
      <c r="D79" s="350">
        <f>2*1.4*2</f>
        <v>5.6</v>
      </c>
      <c r="E79" s="331"/>
      <c r="F79" s="330">
        <f t="shared" si="1"/>
        <v>0</v>
      </c>
    </row>
    <row r="80" spans="1:6" x14ac:dyDescent="0.25">
      <c r="A80" s="312"/>
      <c r="B80" s="313" t="s">
        <v>198</v>
      </c>
      <c r="C80" s="329"/>
      <c r="D80" s="350">
        <f>(5.2+4.4+3.2+4)*3.5</f>
        <v>58.800000000000004</v>
      </c>
      <c r="E80" s="331"/>
      <c r="F80" s="330">
        <f t="shared" si="1"/>
        <v>0</v>
      </c>
    </row>
    <row r="81" spans="1:6" x14ac:dyDescent="0.25">
      <c r="A81" s="312"/>
      <c r="C81" s="329" t="s">
        <v>83</v>
      </c>
      <c r="D81" s="363">
        <f>SUM(D78:D80)</f>
        <v>64.400000000000006</v>
      </c>
      <c r="E81" s="351"/>
      <c r="F81" s="330">
        <f t="shared" si="1"/>
        <v>0</v>
      </c>
    </row>
    <row r="82" spans="1:6" x14ac:dyDescent="0.25">
      <c r="A82" s="312"/>
      <c r="C82" s="329"/>
      <c r="D82" s="363"/>
      <c r="E82" s="351"/>
      <c r="F82" s="330">
        <f t="shared" si="1"/>
        <v>0</v>
      </c>
    </row>
    <row r="83" spans="1:6" ht="38.25" x14ac:dyDescent="0.25">
      <c r="A83" s="312" t="s">
        <v>195</v>
      </c>
      <c r="B83" s="313" t="s">
        <v>126</v>
      </c>
      <c r="C83" s="329"/>
      <c r="D83" s="336"/>
      <c r="E83" s="331"/>
      <c r="F83" s="330">
        <f t="shared" si="1"/>
        <v>0</v>
      </c>
    </row>
    <row r="84" spans="1:6" x14ac:dyDescent="0.25">
      <c r="A84" s="312"/>
      <c r="C84" s="329" t="s">
        <v>84</v>
      </c>
      <c r="D84" s="330">
        <v>25</v>
      </c>
      <c r="E84" s="331"/>
      <c r="F84" s="330">
        <f t="shared" si="1"/>
        <v>0</v>
      </c>
    </row>
    <row r="85" spans="1:6" x14ac:dyDescent="0.25">
      <c r="A85" s="312"/>
      <c r="C85" s="329"/>
      <c r="D85" s="330"/>
      <c r="E85" s="331"/>
      <c r="F85" s="330">
        <f t="shared" si="1"/>
        <v>0</v>
      </c>
    </row>
    <row r="86" spans="1:6" ht="38.25" x14ac:dyDescent="0.25">
      <c r="A86" s="312" t="s">
        <v>125</v>
      </c>
      <c r="B86" s="313" t="s">
        <v>190</v>
      </c>
      <c r="C86" s="329"/>
      <c r="D86" s="336"/>
      <c r="E86" s="331"/>
      <c r="F86" s="330">
        <f t="shared" si="1"/>
        <v>0</v>
      </c>
    </row>
    <row r="87" spans="1:6" ht="25.5" x14ac:dyDescent="0.25">
      <c r="A87" s="312"/>
      <c r="B87" s="369" t="s">
        <v>128</v>
      </c>
      <c r="C87" s="335" t="s">
        <v>79</v>
      </c>
      <c r="D87" s="370">
        <v>6</v>
      </c>
      <c r="E87" s="331"/>
      <c r="F87" s="330">
        <f t="shared" si="1"/>
        <v>0</v>
      </c>
    </row>
    <row r="88" spans="1:6" x14ac:dyDescent="0.25">
      <c r="A88" s="312"/>
      <c r="B88" s="313"/>
      <c r="C88" s="329"/>
      <c r="D88" s="336"/>
      <c r="E88" s="331"/>
      <c r="F88" s="330"/>
    </row>
    <row r="89" spans="1:6" x14ac:dyDescent="0.25">
      <c r="A89" s="337"/>
      <c r="B89" s="295" t="s">
        <v>129</v>
      </c>
      <c r="C89" s="338"/>
      <c r="D89" s="339"/>
      <c r="E89" s="340"/>
      <c r="F89" s="339">
        <f>+SUM(F70:F88)</f>
        <v>0</v>
      </c>
    </row>
    <row r="90" spans="1:6" x14ac:dyDescent="0.25">
      <c r="A90" s="312"/>
      <c r="B90" s="313"/>
      <c r="C90" s="329"/>
      <c r="D90" s="336"/>
      <c r="E90" s="331"/>
      <c r="F90" s="330"/>
    </row>
    <row r="91" spans="1:6" x14ac:dyDescent="0.25">
      <c r="A91" s="312"/>
      <c r="B91" s="313"/>
      <c r="C91" s="329"/>
      <c r="D91" s="336"/>
      <c r="E91" s="331"/>
      <c r="F91" s="330"/>
    </row>
    <row r="92" spans="1:6" x14ac:dyDescent="0.25">
      <c r="A92" s="312"/>
      <c r="B92" s="313"/>
      <c r="C92" s="329"/>
      <c r="D92" s="336"/>
      <c r="E92" s="331"/>
      <c r="F92" s="330"/>
    </row>
    <row r="93" spans="1:6" x14ac:dyDescent="0.25">
      <c r="A93" s="318" t="s">
        <v>4</v>
      </c>
      <c r="B93" s="293" t="s">
        <v>92</v>
      </c>
      <c r="C93" s="344"/>
      <c r="D93" s="371"/>
      <c r="E93" s="346"/>
      <c r="F93" s="345"/>
    </row>
    <row r="94" spans="1:6" x14ac:dyDescent="0.25">
      <c r="A94" s="312"/>
      <c r="B94" s="313"/>
      <c r="C94" s="329"/>
      <c r="D94" s="336"/>
      <c r="E94" s="331"/>
      <c r="F94" s="330"/>
    </row>
    <row r="95" spans="1:6" ht="38.25" x14ac:dyDescent="0.25">
      <c r="A95" s="312" t="s">
        <v>130</v>
      </c>
      <c r="B95" s="372" t="s">
        <v>131</v>
      </c>
      <c r="C95" s="329"/>
      <c r="D95" s="330"/>
      <c r="E95" s="331"/>
      <c r="F95" s="330"/>
    </row>
    <row r="96" spans="1:6" x14ac:dyDescent="0.25">
      <c r="A96" s="312"/>
      <c r="B96" s="372" t="s">
        <v>132</v>
      </c>
      <c r="C96" s="329"/>
      <c r="D96" s="373">
        <f>25.9*26.6</f>
        <v>688.94</v>
      </c>
      <c r="E96" s="331"/>
      <c r="F96" s="330"/>
    </row>
    <row r="97" spans="1:6" x14ac:dyDescent="0.25">
      <c r="A97" s="312"/>
      <c r="B97" s="372"/>
      <c r="C97" s="329" t="s">
        <v>83</v>
      </c>
      <c r="D97" s="374">
        <f>2.7*3.1</f>
        <v>8.370000000000001</v>
      </c>
      <c r="E97" s="331"/>
      <c r="F97" s="330">
        <f t="shared" ref="F97:F103" si="2">+D97*E97</f>
        <v>0</v>
      </c>
    </row>
    <row r="98" spans="1:6" x14ac:dyDescent="0.25">
      <c r="A98" s="312"/>
      <c r="B98" s="372"/>
      <c r="C98" s="329"/>
      <c r="D98" s="363"/>
      <c r="E98" s="331"/>
      <c r="F98" s="330">
        <f t="shared" si="2"/>
        <v>0</v>
      </c>
    </row>
    <row r="99" spans="1:6" ht="25.5" x14ac:dyDescent="0.25">
      <c r="A99" s="312" t="s">
        <v>133</v>
      </c>
      <c r="B99" s="372" t="s">
        <v>199</v>
      </c>
      <c r="C99" s="329"/>
      <c r="D99" s="330"/>
      <c r="E99" s="331"/>
      <c r="F99" s="330">
        <f t="shared" si="2"/>
        <v>0</v>
      </c>
    </row>
    <row r="100" spans="1:6" x14ac:dyDescent="0.25">
      <c r="A100" s="312"/>
      <c r="C100" s="329" t="s">
        <v>134</v>
      </c>
      <c r="D100" s="347">
        <v>12</v>
      </c>
      <c r="E100" s="331"/>
      <c r="F100" s="330">
        <f t="shared" si="2"/>
        <v>0</v>
      </c>
    </row>
    <row r="101" spans="1:6" x14ac:dyDescent="0.25">
      <c r="A101" s="312"/>
      <c r="C101" s="329"/>
      <c r="D101" s="347"/>
      <c r="E101" s="331"/>
      <c r="F101" s="330">
        <f t="shared" si="2"/>
        <v>0</v>
      </c>
    </row>
    <row r="102" spans="1:6" ht="89.25" x14ac:dyDescent="0.25">
      <c r="A102" s="312" t="s">
        <v>135</v>
      </c>
      <c r="B102" s="297" t="s">
        <v>235</v>
      </c>
      <c r="C102" s="329"/>
      <c r="D102" s="347"/>
      <c r="E102" s="331"/>
      <c r="F102" s="330">
        <f t="shared" si="2"/>
        <v>0</v>
      </c>
    </row>
    <row r="103" spans="1:6" x14ac:dyDescent="0.25">
      <c r="A103" s="312"/>
      <c r="C103" s="329" t="s">
        <v>83</v>
      </c>
      <c r="D103" s="374">
        <f>9.6*2</f>
        <v>19.2</v>
      </c>
      <c r="E103" s="331"/>
      <c r="F103" s="330">
        <f t="shared" si="2"/>
        <v>0</v>
      </c>
    </row>
    <row r="104" spans="1:6" x14ac:dyDescent="0.25">
      <c r="A104" s="312"/>
      <c r="C104" s="329"/>
      <c r="D104" s="347"/>
      <c r="E104" s="331"/>
      <c r="F104" s="330"/>
    </row>
    <row r="105" spans="1:6" ht="38.25" x14ac:dyDescent="0.25">
      <c r="A105" s="312" t="s">
        <v>234</v>
      </c>
      <c r="B105" s="372" t="s">
        <v>136</v>
      </c>
      <c r="C105" s="335"/>
      <c r="D105" s="336"/>
      <c r="E105" s="351"/>
      <c r="F105" s="362"/>
    </row>
    <row r="106" spans="1:6" x14ac:dyDescent="0.25">
      <c r="A106" s="375"/>
      <c r="B106" s="372" t="s">
        <v>41</v>
      </c>
      <c r="C106" s="335"/>
      <c r="D106" s="336"/>
      <c r="E106" s="351"/>
      <c r="F106" s="362"/>
    </row>
    <row r="107" spans="1:6" x14ac:dyDescent="0.25">
      <c r="A107" s="375"/>
      <c r="B107" s="334"/>
      <c r="C107" s="335" t="s">
        <v>138</v>
      </c>
      <c r="D107" s="347"/>
      <c r="E107" s="180"/>
      <c r="F107" s="362">
        <f>(F16+F62+F89+F97+F100)*0.1</f>
        <v>0</v>
      </c>
    </row>
    <row r="108" spans="1:6" x14ac:dyDescent="0.25">
      <c r="A108" s="376"/>
      <c r="B108" s="313"/>
      <c r="C108" s="377"/>
      <c r="D108" s="345"/>
      <c r="E108" s="346"/>
      <c r="F108" s="345"/>
    </row>
    <row r="109" spans="1:6" x14ac:dyDescent="0.25">
      <c r="A109" s="378"/>
      <c r="B109" s="295" t="s">
        <v>137</v>
      </c>
      <c r="C109" s="341"/>
      <c r="D109" s="379"/>
      <c r="E109" s="380"/>
      <c r="F109" s="379">
        <f>+SUM(F94:F108)</f>
        <v>0</v>
      </c>
    </row>
  </sheetData>
  <sheetProtection algorithmName="SHA-512" hashValue="CdJ07FSe3cw58YxfWFk9ItMkHVr28MrdFZULjng0uW8diBU7z5va4MZHorb8J1WnCgEAqOC3vaCGDn0w7cARHQ==" saltValue="wa7lWHn4O1cXjkn38XFvXg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&amp;R&amp;"Arial,Navadno"&amp;10&amp;P/&amp;N</oddFooter>
  </headerFooter>
  <rowBreaks count="2" manualBreakCount="2">
    <brk id="65" max="16383" man="1"/>
    <brk id="9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30"/>
  <sheetViews>
    <sheetView showZeros="0" view="pageBreakPreview" zoomScaleNormal="100" zoomScaleSheetLayoutView="100" workbookViewId="0">
      <selection activeCell="B16" sqref="B16"/>
    </sheetView>
  </sheetViews>
  <sheetFormatPr defaultColWidth="9.140625" defaultRowHeight="14.25" x14ac:dyDescent="0.2"/>
  <cols>
    <col min="1" max="1" width="5.7109375" style="10" customWidth="1"/>
    <col min="2" max="2" width="50.7109375" style="9" customWidth="1"/>
    <col min="3" max="3" width="30.7109375" style="9" customWidth="1"/>
    <col min="4" max="16384" width="9.140625" style="15"/>
  </cols>
  <sheetData>
    <row r="7" spans="1:3" x14ac:dyDescent="0.2">
      <c r="B7" s="17"/>
    </row>
    <row r="8" spans="1:3" x14ac:dyDescent="0.2">
      <c r="A8" s="18"/>
      <c r="B8" s="19"/>
    </row>
    <row r="9" spans="1:3" x14ac:dyDescent="0.2">
      <c r="A9" s="11"/>
      <c r="B9" s="19"/>
    </row>
    <row r="10" spans="1:3" x14ac:dyDescent="0.2">
      <c r="A10" s="11"/>
      <c r="B10" s="19"/>
    </row>
    <row r="11" spans="1:3" ht="18" x14ac:dyDescent="0.25">
      <c r="A11" s="12"/>
      <c r="B11" s="300" t="s">
        <v>87</v>
      </c>
      <c r="C11" s="17"/>
    </row>
    <row r="12" spans="1:3" x14ac:dyDescent="0.2">
      <c r="B12" s="301"/>
      <c r="C12" s="17"/>
    </row>
    <row r="13" spans="1:3" x14ac:dyDescent="0.2">
      <c r="B13" s="301"/>
      <c r="C13" s="17"/>
    </row>
    <row r="14" spans="1:3" ht="15" x14ac:dyDescent="0.25">
      <c r="B14" s="302" t="s">
        <v>88</v>
      </c>
      <c r="C14" s="17"/>
    </row>
    <row r="15" spans="1:3" x14ac:dyDescent="0.2">
      <c r="B15" s="301"/>
      <c r="C15" s="17"/>
    </row>
    <row r="16" spans="1:3" x14ac:dyDescent="0.2">
      <c r="B16" s="303" t="s">
        <v>89</v>
      </c>
      <c r="C16" s="57">
        <f>+'03-blok2 gradbena dela'!F18</f>
        <v>0</v>
      </c>
    </row>
    <row r="17" spans="2:3" x14ac:dyDescent="0.2">
      <c r="B17" s="303"/>
      <c r="C17" s="58"/>
    </row>
    <row r="18" spans="2:3" x14ac:dyDescent="0.2">
      <c r="B18" s="303" t="s">
        <v>90</v>
      </c>
      <c r="C18" s="57">
        <f>+'03-blok2 gradbena dela'!F88</f>
        <v>0</v>
      </c>
    </row>
    <row r="19" spans="2:3" x14ac:dyDescent="0.2">
      <c r="B19" s="303"/>
      <c r="C19" s="58"/>
    </row>
    <row r="20" spans="2:3" x14ac:dyDescent="0.2">
      <c r="B20" s="303" t="s">
        <v>91</v>
      </c>
      <c r="C20" s="57">
        <f>+'03-blok2 gradbena dela'!F122</f>
        <v>0</v>
      </c>
    </row>
    <row r="21" spans="2:3" x14ac:dyDescent="0.2">
      <c r="B21" s="303"/>
      <c r="C21" s="58"/>
    </row>
    <row r="22" spans="2:3" x14ac:dyDescent="0.2">
      <c r="B22" s="303" t="s">
        <v>92</v>
      </c>
      <c r="C22" s="57">
        <f>+'03-blok2 gradbena dela'!F145</f>
        <v>0</v>
      </c>
    </row>
    <row r="23" spans="2:3" x14ac:dyDescent="0.2">
      <c r="B23" s="304"/>
      <c r="C23" s="47"/>
    </row>
    <row r="24" spans="2:3" ht="15" x14ac:dyDescent="0.25">
      <c r="B24" s="303" t="s">
        <v>93</v>
      </c>
      <c r="C24" s="60">
        <f>SUM(C16:C23)</f>
        <v>0</v>
      </c>
    </row>
    <row r="25" spans="2:3" x14ac:dyDescent="0.2">
      <c r="B25" s="303"/>
      <c r="C25" s="57"/>
    </row>
    <row r="26" spans="2:3" x14ac:dyDescent="0.2">
      <c r="B26" s="303"/>
      <c r="C26" s="57"/>
    </row>
    <row r="27" spans="2:3" x14ac:dyDescent="0.2">
      <c r="B27" s="303"/>
      <c r="C27" s="57"/>
    </row>
    <row r="28" spans="2:3" x14ac:dyDescent="0.2">
      <c r="B28" s="303"/>
      <c r="C28" s="59"/>
    </row>
    <row r="29" spans="2:3" ht="15" x14ac:dyDescent="0.25">
      <c r="B29" s="305" t="s">
        <v>94</v>
      </c>
      <c r="C29" s="48">
        <f>SUM(C24:C28)</f>
        <v>0</v>
      </c>
    </row>
    <row r="30" spans="2:3" x14ac:dyDescent="0.2">
      <c r="B30" s="21"/>
      <c r="C30" s="22"/>
    </row>
  </sheetData>
  <sheetProtection algorithmName="SHA-512" hashValue="hhLlSLhc32D9BVlwwql8mUBCwG5ykzsMCynaqiwIlzYrJ2K3kv2JHYLVHYFm3xMOG5i+7lUUcAt+f2JavufLxw==" saltValue="YnR+3xzcSyD1Tce25+omO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&amp;R&amp;"Arial,Navadno"&amp;10&amp;P/&amp;N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showZeros="0" view="pageBreakPreview" zoomScaleNormal="100" zoomScaleSheetLayoutView="100" workbookViewId="0">
      <pane ySplit="6" topLeftCell="A7" activePane="bottomLeft" state="frozen"/>
      <selection activeCell="C14" sqref="C14"/>
      <selection pane="bottomLeft" activeCell="B13" sqref="B13"/>
    </sheetView>
  </sheetViews>
  <sheetFormatPr defaultRowHeight="15" x14ac:dyDescent="0.25"/>
  <cols>
    <col min="1" max="1" width="5.7109375" style="2" customWidth="1"/>
    <col min="2" max="2" width="30.7109375" style="286" customWidth="1"/>
    <col min="3" max="3" width="10.7109375" style="3" customWidth="1"/>
    <col min="4" max="4" width="10.7109375" style="7" customWidth="1"/>
    <col min="5" max="5" width="12.7109375" style="200" customWidth="1"/>
    <col min="6" max="6" width="15.7109375" style="14" customWidth="1"/>
  </cols>
  <sheetData>
    <row r="1" spans="1:6" ht="18" x14ac:dyDescent="0.25">
      <c r="B1" s="264" t="s">
        <v>460</v>
      </c>
      <c r="C1" s="266"/>
      <c r="D1" s="207"/>
      <c r="E1" s="208"/>
    </row>
    <row r="2" spans="1:6" ht="18" x14ac:dyDescent="0.25">
      <c r="B2" s="264" t="s">
        <v>463</v>
      </c>
      <c r="C2" s="266"/>
      <c r="D2" s="207"/>
      <c r="E2" s="210"/>
    </row>
    <row r="3" spans="1:6" ht="18" x14ac:dyDescent="0.25">
      <c r="B3" s="264"/>
      <c r="C3" s="266"/>
      <c r="D3" s="207"/>
      <c r="E3" s="210"/>
    </row>
    <row r="4" spans="1:6" x14ac:dyDescent="0.25">
      <c r="B4" s="285"/>
      <c r="C4" s="266"/>
      <c r="D4" s="207"/>
      <c r="E4" s="213"/>
    </row>
    <row r="5" spans="1:6" ht="21" x14ac:dyDescent="0.25">
      <c r="B5" s="261" t="s">
        <v>458</v>
      </c>
      <c r="C5" s="267" t="s">
        <v>457</v>
      </c>
      <c r="D5" s="263" t="s">
        <v>459</v>
      </c>
      <c r="E5" s="262" t="s">
        <v>344</v>
      </c>
      <c r="F5" s="262" t="s">
        <v>345</v>
      </c>
    </row>
    <row r="8" spans="1:6" x14ac:dyDescent="0.25">
      <c r="A8" s="5" t="s">
        <v>4</v>
      </c>
      <c r="B8" s="287" t="s">
        <v>89</v>
      </c>
      <c r="C8" s="6"/>
      <c r="D8" s="8"/>
      <c r="E8" s="195"/>
      <c r="F8" s="13"/>
    </row>
    <row r="9" spans="1:6" x14ac:dyDescent="0.25">
      <c r="A9" s="26"/>
      <c r="B9" s="288"/>
      <c r="C9" s="27"/>
      <c r="D9" s="16"/>
      <c r="E9" s="201"/>
      <c r="F9" s="28"/>
    </row>
    <row r="10" spans="1:6" ht="38.25" x14ac:dyDescent="0.25">
      <c r="A10" s="2" t="s">
        <v>5</v>
      </c>
      <c r="B10" s="286" t="s">
        <v>141</v>
      </c>
      <c r="F10" s="29"/>
    </row>
    <row r="11" spans="1:6" x14ac:dyDescent="0.25">
      <c r="C11" s="298" t="s">
        <v>143</v>
      </c>
      <c r="D11" s="43">
        <v>1</v>
      </c>
      <c r="E11" s="199"/>
      <c r="F11" s="43">
        <f t="shared" ref="F11:F16" si="0">+D11*E11</f>
        <v>0</v>
      </c>
    </row>
    <row r="12" spans="1:6" x14ac:dyDescent="0.25">
      <c r="D12" s="43"/>
      <c r="E12" s="199"/>
      <c r="F12" s="43">
        <f t="shared" si="0"/>
        <v>0</v>
      </c>
    </row>
    <row r="13" spans="1:6" ht="25.5" x14ac:dyDescent="0.25">
      <c r="A13" s="2" t="s">
        <v>6</v>
      </c>
      <c r="B13" s="286" t="s">
        <v>96</v>
      </c>
      <c r="D13" s="43"/>
      <c r="E13" s="199"/>
      <c r="F13" s="43">
        <f t="shared" si="0"/>
        <v>0</v>
      </c>
    </row>
    <row r="14" spans="1:6" x14ac:dyDescent="0.25">
      <c r="C14" s="3" t="s">
        <v>79</v>
      </c>
      <c r="D14" s="43">
        <v>8</v>
      </c>
      <c r="E14" s="199"/>
      <c r="F14" s="43">
        <f t="shared" si="0"/>
        <v>0</v>
      </c>
    </row>
    <row r="15" spans="1:6" x14ac:dyDescent="0.25">
      <c r="D15" s="43"/>
      <c r="E15" s="199"/>
      <c r="F15" s="43">
        <f t="shared" si="0"/>
        <v>0</v>
      </c>
    </row>
    <row r="16" spans="1:6" ht="89.25" x14ac:dyDescent="0.25">
      <c r="B16" s="286" t="s">
        <v>142</v>
      </c>
      <c r="C16" s="3" t="s">
        <v>143</v>
      </c>
      <c r="D16" s="43">
        <v>1</v>
      </c>
      <c r="E16" s="199"/>
      <c r="F16" s="43">
        <f t="shared" si="0"/>
        <v>0</v>
      </c>
    </row>
    <row r="17" spans="1:6" x14ac:dyDescent="0.25">
      <c r="D17" s="37"/>
      <c r="E17" s="199"/>
      <c r="F17" s="43"/>
    </row>
    <row r="18" spans="1:6" x14ac:dyDescent="0.25">
      <c r="A18" s="30"/>
      <c r="B18" s="299" t="s">
        <v>97</v>
      </c>
      <c r="C18" s="25"/>
      <c r="D18" s="38"/>
      <c r="E18" s="197"/>
      <c r="F18" s="38">
        <f>SUM(F9:F17)</f>
        <v>0</v>
      </c>
    </row>
    <row r="19" spans="1:6" x14ac:dyDescent="0.25">
      <c r="D19" s="43"/>
      <c r="E19" s="199"/>
      <c r="F19" s="43"/>
    </row>
    <row r="20" spans="1:6" x14ac:dyDescent="0.25">
      <c r="A20" s="26"/>
      <c r="B20" s="288"/>
      <c r="C20" s="27"/>
      <c r="D20" s="37"/>
      <c r="E20" s="202"/>
      <c r="F20" s="37"/>
    </row>
    <row r="21" spans="1:6" x14ac:dyDescent="0.25">
      <c r="A21" s="5" t="s">
        <v>4</v>
      </c>
      <c r="B21" s="287" t="s">
        <v>98</v>
      </c>
      <c r="C21" s="6"/>
      <c r="D21" s="39"/>
      <c r="E21" s="198"/>
      <c r="F21" s="39"/>
    </row>
    <row r="22" spans="1:6" x14ac:dyDescent="0.25">
      <c r="D22" s="43"/>
      <c r="E22" s="199"/>
      <c r="F22" s="43"/>
    </row>
    <row r="23" spans="1:6" ht="25.5" x14ac:dyDescent="0.25">
      <c r="B23" s="286" t="s">
        <v>464</v>
      </c>
      <c r="D23" s="43"/>
      <c r="E23" s="199"/>
      <c r="F23" s="43"/>
    </row>
    <row r="24" spans="1:6" x14ac:dyDescent="0.25">
      <c r="D24" s="43"/>
      <c r="E24" s="199"/>
      <c r="F24" s="43"/>
    </row>
    <row r="25" spans="1:6" x14ac:dyDescent="0.25">
      <c r="D25" s="43"/>
      <c r="E25" s="199"/>
      <c r="F25" s="43"/>
    </row>
    <row r="26" spans="1:6" x14ac:dyDescent="0.25">
      <c r="A26" s="26"/>
      <c r="B26" s="288"/>
      <c r="C26" s="27"/>
      <c r="D26" s="37"/>
      <c r="E26" s="202"/>
      <c r="F26" s="37"/>
    </row>
    <row r="27" spans="1:6" x14ac:dyDescent="0.25">
      <c r="A27" s="5" t="s">
        <v>4</v>
      </c>
      <c r="B27" s="287" t="s">
        <v>90</v>
      </c>
      <c r="C27" s="6"/>
      <c r="D27" s="39"/>
      <c r="E27" s="198"/>
      <c r="F27" s="39"/>
    </row>
    <row r="28" spans="1:6" x14ac:dyDescent="0.25">
      <c r="D28" s="43"/>
      <c r="E28" s="199"/>
      <c r="F28" s="43"/>
    </row>
    <row r="29" spans="1:6" ht="38.25" x14ac:dyDescent="0.25">
      <c r="A29" s="2" t="s">
        <v>61</v>
      </c>
      <c r="B29" s="286" t="s">
        <v>465</v>
      </c>
      <c r="D29" s="37"/>
      <c r="E29" s="199"/>
      <c r="F29" s="43"/>
    </row>
    <row r="30" spans="1:6" x14ac:dyDescent="0.25">
      <c r="B30" s="286" t="s">
        <v>144</v>
      </c>
      <c r="D30" s="37"/>
      <c r="E30" s="199"/>
      <c r="F30" s="43"/>
    </row>
    <row r="31" spans="1:6" x14ac:dyDescent="0.25">
      <c r="B31" s="286" t="s">
        <v>145</v>
      </c>
      <c r="D31" s="37"/>
      <c r="E31" s="199"/>
      <c r="F31" s="43"/>
    </row>
    <row r="32" spans="1:6" x14ac:dyDescent="0.25">
      <c r="B32" s="286" t="s">
        <v>146</v>
      </c>
      <c r="D32" s="37"/>
      <c r="E32" s="199"/>
      <c r="F32" s="43"/>
    </row>
    <row r="33" spans="1:10" x14ac:dyDescent="0.25">
      <c r="C33" s="3" t="s">
        <v>8</v>
      </c>
      <c r="D33" s="44">
        <f>0.1*16.1*9.4+0.1*6*0.5+0.1*1.5*3*2</f>
        <v>16.334000000000003</v>
      </c>
      <c r="E33" s="203"/>
      <c r="F33" s="43">
        <f t="shared" ref="F33:F64" si="1">+D33*E33</f>
        <v>0</v>
      </c>
    </row>
    <row r="34" spans="1:10" x14ac:dyDescent="0.25">
      <c r="D34" s="37"/>
      <c r="E34" s="203"/>
      <c r="F34" s="43">
        <f t="shared" si="1"/>
        <v>0</v>
      </c>
    </row>
    <row r="35" spans="1:10" ht="38.25" x14ac:dyDescent="0.25">
      <c r="A35" s="2" t="s">
        <v>64</v>
      </c>
      <c r="B35" s="286" t="s">
        <v>102</v>
      </c>
      <c r="D35" s="37"/>
      <c r="E35" s="199"/>
      <c r="F35" s="43">
        <f t="shared" si="1"/>
        <v>0</v>
      </c>
    </row>
    <row r="36" spans="1:10" ht="25.5" x14ac:dyDescent="0.25">
      <c r="B36" s="286" t="s">
        <v>147</v>
      </c>
      <c r="D36" s="37"/>
      <c r="E36" s="199"/>
      <c r="F36" s="43">
        <f t="shared" si="1"/>
        <v>0</v>
      </c>
    </row>
    <row r="37" spans="1:10" x14ac:dyDescent="0.25">
      <c r="B37" s="286" t="s">
        <v>105</v>
      </c>
      <c r="D37" s="37"/>
      <c r="E37" s="199"/>
      <c r="F37" s="43">
        <f t="shared" si="1"/>
        <v>0</v>
      </c>
    </row>
    <row r="38" spans="1:10" x14ac:dyDescent="0.25">
      <c r="B38" s="286" t="s">
        <v>161</v>
      </c>
      <c r="D38" s="49">
        <f>0.2*1.2*3.95*2</f>
        <v>1.8959999999999999</v>
      </c>
      <c r="E38" s="199"/>
      <c r="F38" s="43">
        <f t="shared" si="1"/>
        <v>0</v>
      </c>
      <c r="J38" s="31"/>
    </row>
    <row r="39" spans="1:10" x14ac:dyDescent="0.25">
      <c r="B39" s="286" t="s">
        <v>162</v>
      </c>
      <c r="D39" s="49">
        <f>0.29*1.2*1*2</f>
        <v>0.69599999999999995</v>
      </c>
      <c r="E39" s="199"/>
      <c r="F39" s="43">
        <f t="shared" si="1"/>
        <v>0</v>
      </c>
    </row>
    <row r="40" spans="1:10" x14ac:dyDescent="0.25">
      <c r="B40" s="286" t="s">
        <v>163</v>
      </c>
      <c r="D40" s="49">
        <f>0.2*1*5.2*2</f>
        <v>2.08</v>
      </c>
      <c r="E40" s="199"/>
      <c r="F40" s="43">
        <f t="shared" si="1"/>
        <v>0</v>
      </c>
    </row>
    <row r="41" spans="1:10" x14ac:dyDescent="0.25">
      <c r="B41" s="286" t="s">
        <v>164</v>
      </c>
      <c r="D41" s="49">
        <f>0.2*1.2*1.1*2</f>
        <v>0.52800000000000002</v>
      </c>
      <c r="E41" s="199"/>
      <c r="F41" s="43">
        <f t="shared" si="1"/>
        <v>0</v>
      </c>
    </row>
    <row r="42" spans="1:10" x14ac:dyDescent="0.25">
      <c r="B42" s="286" t="s">
        <v>165</v>
      </c>
      <c r="D42" s="49">
        <f>0.2*1*1.1</f>
        <v>0.22000000000000003</v>
      </c>
      <c r="E42" s="199"/>
      <c r="F42" s="43">
        <f t="shared" si="1"/>
        <v>0</v>
      </c>
    </row>
    <row r="43" spans="1:10" x14ac:dyDescent="0.25">
      <c r="B43" s="286" t="s">
        <v>148</v>
      </c>
      <c r="D43" s="49">
        <f>0.25*2*3*2</f>
        <v>3</v>
      </c>
      <c r="E43" s="199"/>
      <c r="F43" s="43">
        <f t="shared" si="1"/>
        <v>0</v>
      </c>
    </row>
    <row r="44" spans="1:10" x14ac:dyDescent="0.25">
      <c r="B44" s="286" t="s">
        <v>149</v>
      </c>
      <c r="D44" s="49"/>
      <c r="E44" s="199"/>
      <c r="F44" s="43">
        <f t="shared" si="1"/>
        <v>0</v>
      </c>
    </row>
    <row r="45" spans="1:10" x14ac:dyDescent="0.25">
      <c r="B45" s="286" t="s">
        <v>166</v>
      </c>
      <c r="D45" s="49">
        <f>0.25*1*1.2*2</f>
        <v>0.6</v>
      </c>
      <c r="E45" s="199"/>
      <c r="F45" s="43">
        <f t="shared" si="1"/>
        <v>0</v>
      </c>
    </row>
    <row r="46" spans="1:10" x14ac:dyDescent="0.25">
      <c r="B46" s="286" t="s">
        <v>167</v>
      </c>
      <c r="D46" s="49">
        <f>0.2*0.2*1*2</f>
        <v>8.0000000000000016E-2</v>
      </c>
      <c r="E46" s="199"/>
      <c r="F46" s="43">
        <f t="shared" si="1"/>
        <v>0</v>
      </c>
    </row>
    <row r="47" spans="1:10" x14ac:dyDescent="0.25">
      <c r="C47" s="3" t="s">
        <v>8</v>
      </c>
      <c r="D47" s="37">
        <f>SUM(D38:D46)</f>
        <v>9.0999999999999979</v>
      </c>
      <c r="E47" s="203"/>
      <c r="F47" s="43">
        <f t="shared" si="1"/>
        <v>0</v>
      </c>
    </row>
    <row r="48" spans="1:10" x14ac:dyDescent="0.25">
      <c r="D48" s="37"/>
      <c r="E48" s="203"/>
      <c r="F48" s="43">
        <f t="shared" si="1"/>
        <v>0</v>
      </c>
    </row>
    <row r="49" spans="1:6" ht="38.25" x14ac:dyDescent="0.25">
      <c r="A49" s="2" t="s">
        <v>65</v>
      </c>
      <c r="B49" s="286" t="s">
        <v>102</v>
      </c>
      <c r="D49" s="37"/>
      <c r="E49" s="199"/>
      <c r="F49" s="43">
        <f t="shared" si="1"/>
        <v>0</v>
      </c>
    </row>
    <row r="50" spans="1:6" ht="25.5" x14ac:dyDescent="0.25">
      <c r="B50" s="286" t="s">
        <v>466</v>
      </c>
      <c r="D50" s="37"/>
      <c r="E50" s="199"/>
      <c r="F50" s="43">
        <f t="shared" si="1"/>
        <v>0</v>
      </c>
    </row>
    <row r="51" spans="1:6" x14ac:dyDescent="0.25">
      <c r="B51" s="286" t="s">
        <v>103</v>
      </c>
      <c r="D51" s="37"/>
      <c r="E51" s="199"/>
      <c r="F51" s="43">
        <f t="shared" si="1"/>
        <v>0</v>
      </c>
    </row>
    <row r="52" spans="1:6" x14ac:dyDescent="0.25">
      <c r="B52" s="286" t="s">
        <v>150</v>
      </c>
      <c r="D52" s="49">
        <f>0.4*2.68*6.08</f>
        <v>6.5177600000000009</v>
      </c>
      <c r="E52" s="199"/>
      <c r="F52" s="43">
        <f t="shared" si="1"/>
        <v>0</v>
      </c>
    </row>
    <row r="53" spans="1:6" x14ac:dyDescent="0.25">
      <c r="B53" s="286" t="s">
        <v>151</v>
      </c>
      <c r="D53" s="49">
        <f>0.4*15.4*9.2</f>
        <v>56.671999999999997</v>
      </c>
      <c r="E53" s="199"/>
      <c r="F53" s="43">
        <f t="shared" si="1"/>
        <v>0</v>
      </c>
    </row>
    <row r="54" spans="1:6" x14ac:dyDescent="0.25">
      <c r="B54" s="290" t="s">
        <v>168</v>
      </c>
      <c r="D54" s="49">
        <f>-0.4*1.57*4.98</f>
        <v>-3.1274400000000009</v>
      </c>
      <c r="E54" s="199"/>
      <c r="F54" s="43">
        <f t="shared" si="1"/>
        <v>0</v>
      </c>
    </row>
    <row r="55" spans="1:6" x14ac:dyDescent="0.25">
      <c r="B55" s="286" t="s">
        <v>152</v>
      </c>
      <c r="D55" s="49">
        <f>0.3*1.3*3*2</f>
        <v>2.34</v>
      </c>
      <c r="E55" s="199"/>
      <c r="F55" s="43">
        <f t="shared" si="1"/>
        <v>0</v>
      </c>
    </row>
    <row r="56" spans="1:6" x14ac:dyDescent="0.25">
      <c r="B56" s="286" t="s">
        <v>105</v>
      </c>
      <c r="D56" s="49"/>
      <c r="E56" s="199"/>
      <c r="F56" s="43">
        <f t="shared" si="1"/>
        <v>0</v>
      </c>
    </row>
    <row r="57" spans="1:6" ht="25.5" x14ac:dyDescent="0.25">
      <c r="B57" s="286" t="s">
        <v>169</v>
      </c>
      <c r="D57" s="49">
        <f>0.4*4.2*(7.2+2.3+7.3+3.8+7.2+2.4+7.3+3.7)</f>
        <v>69.216000000000008</v>
      </c>
      <c r="E57" s="199"/>
      <c r="F57" s="43">
        <f t="shared" si="1"/>
        <v>0</v>
      </c>
    </row>
    <row r="58" spans="1:6" x14ac:dyDescent="0.25">
      <c r="B58" s="286" t="s">
        <v>153</v>
      </c>
      <c r="D58" s="49">
        <f>0.4*0.6*5.78*2</f>
        <v>2.7744</v>
      </c>
      <c r="E58" s="199"/>
      <c r="F58" s="43">
        <f t="shared" si="1"/>
        <v>0</v>
      </c>
    </row>
    <row r="59" spans="1:6" x14ac:dyDescent="0.25">
      <c r="B59" s="286" t="s">
        <v>170</v>
      </c>
      <c r="D59" s="49">
        <f>0.4*0.6*1.58*2</f>
        <v>0.75839999999999996</v>
      </c>
      <c r="E59" s="199"/>
      <c r="F59" s="43">
        <f t="shared" si="1"/>
        <v>0</v>
      </c>
    </row>
    <row r="60" spans="1:6" x14ac:dyDescent="0.25">
      <c r="B60" s="286" t="s">
        <v>154</v>
      </c>
      <c r="D60" s="49">
        <f>0.3*4.2*6.8*2</f>
        <v>17.135999999999999</v>
      </c>
      <c r="E60" s="199"/>
      <c r="F60" s="43">
        <f t="shared" si="1"/>
        <v>0</v>
      </c>
    </row>
    <row r="61" spans="1:6" x14ac:dyDescent="0.25">
      <c r="C61" s="3" t="s">
        <v>8</v>
      </c>
      <c r="D61" s="37">
        <f>SUM(D51:D60)</f>
        <v>152.28711999999999</v>
      </c>
      <c r="E61" s="199"/>
      <c r="F61" s="43">
        <f t="shared" si="1"/>
        <v>0</v>
      </c>
    </row>
    <row r="62" spans="1:6" x14ac:dyDescent="0.25">
      <c r="D62" s="37"/>
      <c r="E62" s="199"/>
      <c r="F62" s="43">
        <f t="shared" si="1"/>
        <v>0</v>
      </c>
    </row>
    <row r="63" spans="1:6" ht="38.25" x14ac:dyDescent="0.25">
      <c r="A63" s="2" t="s">
        <v>67</v>
      </c>
      <c r="B63" s="286" t="s">
        <v>108</v>
      </c>
      <c r="D63" s="41"/>
      <c r="E63" s="199"/>
      <c r="F63" s="43">
        <f t="shared" si="1"/>
        <v>0</v>
      </c>
    </row>
    <row r="64" spans="1:6" x14ac:dyDescent="0.25">
      <c r="B64" s="286" t="s">
        <v>171</v>
      </c>
      <c r="D64" s="50">
        <f>0.25*6.8*2</f>
        <v>3.4</v>
      </c>
      <c r="E64" s="199"/>
      <c r="F64" s="43">
        <f t="shared" si="1"/>
        <v>0</v>
      </c>
    </row>
    <row r="65" spans="1:6" x14ac:dyDescent="0.25">
      <c r="B65" s="286" t="s">
        <v>172</v>
      </c>
      <c r="D65" s="50">
        <f>(1.55*0.9)/2*6.8*2</f>
        <v>9.4860000000000007</v>
      </c>
      <c r="E65" s="199"/>
      <c r="F65" s="43">
        <f t="shared" ref="F65:F86" si="2">+D65*E65</f>
        <v>0</v>
      </c>
    </row>
    <row r="66" spans="1:6" x14ac:dyDescent="0.25">
      <c r="B66" s="286" t="s">
        <v>173</v>
      </c>
      <c r="D66" s="50">
        <f>(1.55*0.9)/2*1.58*2</f>
        <v>2.2040999999999999</v>
      </c>
      <c r="E66" s="199"/>
      <c r="F66" s="43">
        <f t="shared" si="2"/>
        <v>0</v>
      </c>
    </row>
    <row r="67" spans="1:6" x14ac:dyDescent="0.25">
      <c r="B67" s="286" t="s">
        <v>174</v>
      </c>
      <c r="D67" s="50">
        <f>(1*0.6)/2*5*2</f>
        <v>3</v>
      </c>
      <c r="E67" s="199"/>
      <c r="F67" s="43">
        <f t="shared" si="2"/>
        <v>0</v>
      </c>
    </row>
    <row r="68" spans="1:6" x14ac:dyDescent="0.25">
      <c r="B68" s="286" t="s">
        <v>175</v>
      </c>
      <c r="D68" s="50">
        <f>(1*0.6)/2*1.58*2</f>
        <v>0.94799999999999995</v>
      </c>
      <c r="E68" s="199"/>
      <c r="F68" s="43">
        <f t="shared" si="2"/>
        <v>0</v>
      </c>
    </row>
    <row r="69" spans="1:6" x14ac:dyDescent="0.25">
      <c r="B69" s="286" t="s">
        <v>176</v>
      </c>
      <c r="D69" s="50">
        <f>(1.53*0.9)/2*1.58*2</f>
        <v>2.1756600000000001</v>
      </c>
      <c r="E69" s="199"/>
      <c r="F69" s="43">
        <f t="shared" si="2"/>
        <v>0</v>
      </c>
    </row>
    <row r="70" spans="1:6" x14ac:dyDescent="0.25">
      <c r="B70" s="286" t="s">
        <v>155</v>
      </c>
      <c r="D70" s="50">
        <f>1*0.8*1</f>
        <v>0.8</v>
      </c>
      <c r="E70" s="199"/>
      <c r="F70" s="43">
        <f t="shared" si="2"/>
        <v>0</v>
      </c>
    </row>
    <row r="71" spans="1:6" x14ac:dyDescent="0.25">
      <c r="C71" s="3" t="s">
        <v>8</v>
      </c>
      <c r="D71" s="37">
        <f>SUM(D64:D70)</f>
        <v>22.013760000000001</v>
      </c>
      <c r="E71" s="199"/>
      <c r="F71" s="43">
        <f t="shared" si="2"/>
        <v>0</v>
      </c>
    </row>
    <row r="72" spans="1:6" x14ac:dyDescent="0.25">
      <c r="D72" s="37"/>
      <c r="E72" s="199"/>
      <c r="F72" s="43">
        <f t="shared" si="2"/>
        <v>0</v>
      </c>
    </row>
    <row r="73" spans="1:6" ht="76.5" x14ac:dyDescent="0.25">
      <c r="A73" s="2" t="s">
        <v>69</v>
      </c>
      <c r="B73" s="286" t="s">
        <v>109</v>
      </c>
      <c r="D73" s="37"/>
      <c r="E73" s="199"/>
      <c r="F73" s="43">
        <f t="shared" si="2"/>
        <v>0</v>
      </c>
    </row>
    <row r="74" spans="1:6" x14ac:dyDescent="0.25">
      <c r="B74" s="290" t="s">
        <v>110</v>
      </c>
      <c r="C74" s="3" t="s">
        <v>8</v>
      </c>
      <c r="D74" s="42">
        <v>1</v>
      </c>
      <c r="E74" s="199"/>
      <c r="F74" s="43">
        <f t="shared" si="2"/>
        <v>0</v>
      </c>
    </row>
    <row r="75" spans="1:6" x14ac:dyDescent="0.25">
      <c r="D75" s="37"/>
      <c r="E75" s="199"/>
      <c r="F75" s="43">
        <f t="shared" si="2"/>
        <v>0</v>
      </c>
    </row>
    <row r="76" spans="1:6" ht="63.75" x14ac:dyDescent="0.25">
      <c r="A76" s="35" t="s">
        <v>71</v>
      </c>
      <c r="B76" s="291" t="s">
        <v>237</v>
      </c>
      <c r="C76" s="36"/>
      <c r="D76" s="37"/>
      <c r="E76" s="182"/>
      <c r="F76" s="43">
        <f t="shared" si="2"/>
        <v>0</v>
      </c>
    </row>
    <row r="77" spans="1:6" x14ac:dyDescent="0.25">
      <c r="A77" s="35"/>
      <c r="B77" s="292"/>
      <c r="C77" s="36" t="s">
        <v>27</v>
      </c>
      <c r="D77" s="42">
        <f>15*1.2*2</f>
        <v>36</v>
      </c>
      <c r="E77" s="183"/>
      <c r="F77" s="43">
        <f t="shared" si="2"/>
        <v>0</v>
      </c>
    </row>
    <row r="78" spans="1:6" x14ac:dyDescent="0.25">
      <c r="D78" s="37"/>
      <c r="E78" s="199"/>
      <c r="F78" s="43">
        <f t="shared" si="2"/>
        <v>0</v>
      </c>
    </row>
    <row r="79" spans="1:6" ht="89.25" x14ac:dyDescent="0.25">
      <c r="A79" s="2" t="s">
        <v>73</v>
      </c>
      <c r="B79" s="286" t="s">
        <v>111</v>
      </c>
      <c r="D79" s="37"/>
      <c r="E79" s="199"/>
      <c r="F79" s="43">
        <f t="shared" si="2"/>
        <v>0</v>
      </c>
    </row>
    <row r="80" spans="1:6" ht="25.5" x14ac:dyDescent="0.25">
      <c r="B80" s="286" t="s">
        <v>177</v>
      </c>
      <c r="D80" s="37"/>
      <c r="E80" s="199"/>
      <c r="F80" s="43">
        <f t="shared" si="2"/>
        <v>0</v>
      </c>
    </row>
    <row r="81" spans="1:6" x14ac:dyDescent="0.25">
      <c r="C81" s="3" t="s">
        <v>27</v>
      </c>
      <c r="D81" s="37">
        <f>7.6+13.8+7.2+13.8+2.4+5.8+2.4+5.8+7.6+7.6+4*4.2</f>
        <v>90.799999999999983</v>
      </c>
      <c r="E81" s="199"/>
      <c r="F81" s="43">
        <f t="shared" si="2"/>
        <v>0</v>
      </c>
    </row>
    <row r="82" spans="1:6" x14ac:dyDescent="0.25">
      <c r="D82" s="44"/>
      <c r="E82" s="199"/>
      <c r="F82" s="43">
        <f t="shared" si="2"/>
        <v>0</v>
      </c>
    </row>
    <row r="83" spans="1:6" ht="38.25" x14ac:dyDescent="0.25">
      <c r="A83" s="2" t="s">
        <v>75</v>
      </c>
      <c r="B83" s="286" t="s">
        <v>113</v>
      </c>
      <c r="D83" s="37"/>
      <c r="E83" s="203"/>
      <c r="F83" s="43">
        <f t="shared" si="2"/>
        <v>0</v>
      </c>
    </row>
    <row r="84" spans="1:6" x14ac:dyDescent="0.25">
      <c r="B84" s="286" t="s">
        <v>114</v>
      </c>
      <c r="C84" s="3" t="s">
        <v>115</v>
      </c>
      <c r="D84" s="51">
        <v>4590</v>
      </c>
      <c r="E84" s="199"/>
      <c r="F84" s="43">
        <f t="shared" si="2"/>
        <v>0</v>
      </c>
    </row>
    <row r="85" spans="1:6" x14ac:dyDescent="0.25">
      <c r="B85" s="286" t="s">
        <v>116</v>
      </c>
      <c r="C85" s="3" t="s">
        <v>115</v>
      </c>
      <c r="D85" s="51">
        <v>3895</v>
      </c>
      <c r="E85" s="199"/>
      <c r="F85" s="43">
        <f t="shared" si="2"/>
        <v>0</v>
      </c>
    </row>
    <row r="86" spans="1:6" x14ac:dyDescent="0.25">
      <c r="B86" s="286" t="s">
        <v>117</v>
      </c>
      <c r="C86" s="3" t="s">
        <v>115</v>
      </c>
      <c r="D86" s="51">
        <v>10980</v>
      </c>
      <c r="E86" s="199"/>
      <c r="F86" s="43">
        <f t="shared" si="2"/>
        <v>0</v>
      </c>
    </row>
    <row r="87" spans="1:6" x14ac:dyDescent="0.25">
      <c r="D87" s="37"/>
      <c r="E87" s="203"/>
      <c r="F87" s="43"/>
    </row>
    <row r="88" spans="1:6" x14ac:dyDescent="0.25">
      <c r="A88" s="30"/>
      <c r="B88" s="299" t="s">
        <v>118</v>
      </c>
      <c r="C88" s="25"/>
      <c r="D88" s="38"/>
      <c r="E88" s="197"/>
      <c r="F88" s="38">
        <f>+SUM(F30:F87)</f>
        <v>0</v>
      </c>
    </row>
    <row r="89" spans="1:6" x14ac:dyDescent="0.25">
      <c r="D89" s="43"/>
      <c r="E89" s="199"/>
      <c r="F89" s="43"/>
    </row>
    <row r="90" spans="1:6" x14ac:dyDescent="0.25">
      <c r="D90" s="43"/>
      <c r="E90" s="199"/>
      <c r="F90" s="43"/>
    </row>
    <row r="91" spans="1:6" x14ac:dyDescent="0.25">
      <c r="D91" s="43"/>
      <c r="E91" s="199"/>
      <c r="F91" s="43"/>
    </row>
    <row r="92" spans="1:6" x14ac:dyDescent="0.25">
      <c r="A92" s="5" t="s">
        <v>4</v>
      </c>
      <c r="B92" s="293" t="s">
        <v>91</v>
      </c>
      <c r="C92" s="6"/>
      <c r="D92" s="39"/>
      <c r="E92" s="198"/>
      <c r="F92" s="39"/>
    </row>
    <row r="93" spans="1:6" x14ac:dyDescent="0.25">
      <c r="D93" s="43"/>
      <c r="E93" s="199"/>
      <c r="F93" s="43"/>
    </row>
    <row r="94" spans="1:6" ht="51" x14ac:dyDescent="0.25">
      <c r="B94" s="286" t="s">
        <v>119</v>
      </c>
      <c r="D94" s="43"/>
      <c r="E94" s="199"/>
      <c r="F94" s="43"/>
    </row>
    <row r="95" spans="1:6" x14ac:dyDescent="0.25">
      <c r="D95" s="52"/>
      <c r="E95" s="199"/>
      <c r="F95" s="43"/>
    </row>
    <row r="96" spans="1:6" ht="25.5" x14ac:dyDescent="0.25">
      <c r="A96" s="2" t="s">
        <v>120</v>
      </c>
      <c r="B96" s="286" t="s">
        <v>121</v>
      </c>
      <c r="D96" s="37"/>
      <c r="E96" s="199"/>
      <c r="F96" s="43"/>
    </row>
    <row r="97" spans="1:6" ht="25.5" x14ac:dyDescent="0.25">
      <c r="B97" s="286" t="s">
        <v>179</v>
      </c>
      <c r="D97" s="37"/>
      <c r="E97" s="199"/>
      <c r="F97" s="43"/>
    </row>
    <row r="98" spans="1:6" x14ac:dyDescent="0.25">
      <c r="B98" s="294"/>
      <c r="C98" s="3" t="s">
        <v>16</v>
      </c>
      <c r="D98" s="44">
        <f>0.4*(15.4+9.2)*2+0.4*(2.68+6.08)*2+0.3*(2.6+6)*2</f>
        <v>31.848000000000003</v>
      </c>
      <c r="E98" s="203"/>
      <c r="F98" s="43">
        <f t="shared" ref="F98:F120" si="3">+D98*E98</f>
        <v>0</v>
      </c>
    </row>
    <row r="99" spans="1:6" x14ac:dyDescent="0.25">
      <c r="D99" s="52"/>
      <c r="E99" s="199"/>
      <c r="F99" s="43">
        <f t="shared" si="3"/>
        <v>0</v>
      </c>
    </row>
    <row r="100" spans="1:6" ht="25.5" x14ac:dyDescent="0.25">
      <c r="A100" s="2" t="s">
        <v>123</v>
      </c>
      <c r="B100" s="286" t="s">
        <v>156</v>
      </c>
      <c r="D100" s="41"/>
      <c r="E100" s="199"/>
      <c r="F100" s="43">
        <f t="shared" si="3"/>
        <v>0</v>
      </c>
    </row>
    <row r="101" spans="1:6" x14ac:dyDescent="0.25">
      <c r="B101" s="286" t="s">
        <v>157</v>
      </c>
      <c r="D101" s="50">
        <f>3.4*1.2-(0.25*1*0.8)</f>
        <v>3.88</v>
      </c>
      <c r="E101" s="199"/>
      <c r="F101" s="43">
        <f t="shared" si="3"/>
        <v>0</v>
      </c>
    </row>
    <row r="102" spans="1:6" x14ac:dyDescent="0.25">
      <c r="C102" s="3" t="s">
        <v>16</v>
      </c>
      <c r="D102" s="43">
        <f>SUM(D100:D101)</f>
        <v>3.88</v>
      </c>
      <c r="E102" s="199"/>
      <c r="F102" s="43">
        <f t="shared" si="3"/>
        <v>0</v>
      </c>
    </row>
    <row r="103" spans="1:6" x14ac:dyDescent="0.25">
      <c r="D103" s="43"/>
      <c r="E103" s="199"/>
      <c r="F103" s="43">
        <f t="shared" si="3"/>
        <v>0</v>
      </c>
    </row>
    <row r="104" spans="1:6" ht="25.5" x14ac:dyDescent="0.25">
      <c r="A104" s="2" t="s">
        <v>158</v>
      </c>
      <c r="B104" s="286" t="s">
        <v>124</v>
      </c>
      <c r="D104" s="41"/>
      <c r="E104" s="199"/>
      <c r="F104" s="43">
        <f t="shared" si="3"/>
        <v>0</v>
      </c>
    </row>
    <row r="105" spans="1:6" x14ac:dyDescent="0.25">
      <c r="B105" s="286" t="s">
        <v>180</v>
      </c>
      <c r="D105" s="50">
        <f>2*(1.2+1.4)*3.95</f>
        <v>20.54</v>
      </c>
      <c r="E105" s="199"/>
      <c r="F105" s="43">
        <f t="shared" si="3"/>
        <v>0</v>
      </c>
    </row>
    <row r="106" spans="1:6" x14ac:dyDescent="0.25">
      <c r="B106" s="286" t="s">
        <v>181</v>
      </c>
      <c r="D106" s="50">
        <f>2*(1+0.8)*5.2</f>
        <v>18.720000000000002</v>
      </c>
      <c r="E106" s="199"/>
      <c r="F106" s="43">
        <f t="shared" si="3"/>
        <v>0</v>
      </c>
    </row>
    <row r="107" spans="1:6" x14ac:dyDescent="0.25">
      <c r="B107" s="286" t="s">
        <v>182</v>
      </c>
      <c r="D107" s="50">
        <f>2*(2.4+5.8)*0.6</f>
        <v>9.8399999999999981</v>
      </c>
      <c r="E107" s="199"/>
      <c r="F107" s="43">
        <f t="shared" si="3"/>
        <v>0</v>
      </c>
    </row>
    <row r="108" spans="1:6" x14ac:dyDescent="0.25">
      <c r="B108" s="286" t="s">
        <v>183</v>
      </c>
      <c r="D108" s="50">
        <f>2*(5+1.6)*1</f>
        <v>13.2</v>
      </c>
      <c r="E108" s="199"/>
      <c r="F108" s="43">
        <f t="shared" si="3"/>
        <v>0</v>
      </c>
    </row>
    <row r="109" spans="1:6" x14ac:dyDescent="0.25">
      <c r="B109" s="286" t="s">
        <v>184</v>
      </c>
      <c r="D109" s="50">
        <f>2*(7.6+13.8)*4.2</f>
        <v>179.76</v>
      </c>
      <c r="E109" s="199"/>
      <c r="F109" s="43">
        <f t="shared" si="3"/>
        <v>0</v>
      </c>
    </row>
    <row r="110" spans="1:6" x14ac:dyDescent="0.25">
      <c r="B110" s="286" t="s">
        <v>185</v>
      </c>
      <c r="D110" s="50">
        <f>2*(6.8+13)*4.2</f>
        <v>166.32000000000002</v>
      </c>
      <c r="E110" s="199"/>
      <c r="F110" s="43">
        <f t="shared" si="3"/>
        <v>0</v>
      </c>
    </row>
    <row r="111" spans="1:6" x14ac:dyDescent="0.25">
      <c r="B111" s="286" t="s">
        <v>186</v>
      </c>
      <c r="D111" s="50">
        <f>4*6.8*4.2</f>
        <v>114.24</v>
      </c>
      <c r="E111" s="199"/>
      <c r="F111" s="43">
        <f t="shared" si="3"/>
        <v>0</v>
      </c>
    </row>
    <row r="112" spans="1:6" x14ac:dyDescent="0.25">
      <c r="B112" s="286" t="s">
        <v>187</v>
      </c>
      <c r="D112" s="50">
        <f>(2*1.2+1.6)*1.4+3*1.4</f>
        <v>9.7999999999999989</v>
      </c>
      <c r="E112" s="199"/>
      <c r="F112" s="43">
        <f t="shared" si="3"/>
        <v>0</v>
      </c>
    </row>
    <row r="113" spans="1:6" x14ac:dyDescent="0.25">
      <c r="B113" s="286" t="s">
        <v>188</v>
      </c>
      <c r="D113" s="50">
        <f>2*2*3*2</f>
        <v>24</v>
      </c>
      <c r="E113" s="199"/>
      <c r="F113" s="43">
        <f t="shared" si="3"/>
        <v>0</v>
      </c>
    </row>
    <row r="114" spans="1:6" x14ac:dyDescent="0.25">
      <c r="C114" s="3" t="s">
        <v>16</v>
      </c>
      <c r="D114" s="52">
        <f>SUM(D105:D113)</f>
        <v>556.41999999999996</v>
      </c>
      <c r="E114" s="199"/>
      <c r="F114" s="43">
        <f t="shared" si="3"/>
        <v>0</v>
      </c>
    </row>
    <row r="115" spans="1:6" x14ac:dyDescent="0.25">
      <c r="D115" s="52"/>
      <c r="E115" s="199"/>
      <c r="F115" s="43">
        <f t="shared" si="3"/>
        <v>0</v>
      </c>
    </row>
    <row r="116" spans="1:6" ht="38.25" x14ac:dyDescent="0.25">
      <c r="A116" s="2" t="s">
        <v>125</v>
      </c>
      <c r="B116" s="286" t="s">
        <v>126</v>
      </c>
      <c r="D116" s="37"/>
      <c r="E116" s="199"/>
      <c r="F116" s="43">
        <f t="shared" si="3"/>
        <v>0</v>
      </c>
    </row>
    <row r="117" spans="1:6" x14ac:dyDescent="0.25">
      <c r="C117" s="3" t="s">
        <v>27</v>
      </c>
      <c r="D117" s="43">
        <v>150</v>
      </c>
      <c r="E117" s="199"/>
      <c r="F117" s="43">
        <f t="shared" si="3"/>
        <v>0</v>
      </c>
    </row>
    <row r="118" spans="1:6" x14ac:dyDescent="0.25">
      <c r="D118" s="43"/>
      <c r="E118" s="199"/>
      <c r="F118" s="43">
        <f t="shared" si="3"/>
        <v>0</v>
      </c>
    </row>
    <row r="119" spans="1:6" ht="38.25" x14ac:dyDescent="0.25">
      <c r="A119" s="2" t="s">
        <v>127</v>
      </c>
      <c r="B119" s="286" t="s">
        <v>190</v>
      </c>
      <c r="D119" s="37"/>
      <c r="E119" s="199"/>
      <c r="F119" s="43">
        <f t="shared" si="3"/>
        <v>0</v>
      </c>
    </row>
    <row r="120" spans="1:6" ht="25.5" x14ac:dyDescent="0.25">
      <c r="B120" s="290" t="s">
        <v>128</v>
      </c>
      <c r="C120" s="3" t="s">
        <v>79</v>
      </c>
      <c r="D120" s="53">
        <v>20</v>
      </c>
      <c r="E120" s="199"/>
      <c r="F120" s="43">
        <f t="shared" si="3"/>
        <v>0</v>
      </c>
    </row>
    <row r="121" spans="1:6" x14ac:dyDescent="0.25">
      <c r="D121" s="37"/>
      <c r="E121" s="199"/>
      <c r="F121" s="43"/>
    </row>
    <row r="122" spans="1:6" x14ac:dyDescent="0.25">
      <c r="A122" s="30"/>
      <c r="B122" s="295" t="s">
        <v>129</v>
      </c>
      <c r="C122" s="25"/>
      <c r="D122" s="38"/>
      <c r="E122" s="197"/>
      <c r="F122" s="38">
        <f>+SUM(F96:F121)</f>
        <v>0</v>
      </c>
    </row>
    <row r="123" spans="1:6" x14ac:dyDescent="0.25">
      <c r="D123" s="37"/>
      <c r="E123" s="199"/>
      <c r="F123" s="43"/>
    </row>
    <row r="124" spans="1:6" x14ac:dyDescent="0.25">
      <c r="D124" s="37"/>
      <c r="E124" s="199"/>
      <c r="F124" s="43"/>
    </row>
    <row r="125" spans="1:6" x14ac:dyDescent="0.25">
      <c r="D125" s="37"/>
      <c r="E125" s="199"/>
      <c r="F125" s="43"/>
    </row>
    <row r="126" spans="1:6" x14ac:dyDescent="0.25">
      <c r="A126" s="5" t="s">
        <v>4</v>
      </c>
      <c r="B126" s="293" t="s">
        <v>92</v>
      </c>
      <c r="C126" s="6"/>
      <c r="D126" s="45"/>
      <c r="E126" s="198"/>
      <c r="F126" s="39"/>
    </row>
    <row r="127" spans="1:6" x14ac:dyDescent="0.25">
      <c r="D127" s="37"/>
      <c r="E127" s="199"/>
      <c r="F127" s="43"/>
    </row>
    <row r="128" spans="1:6" ht="38.25" x14ac:dyDescent="0.25">
      <c r="A128" s="2" t="s">
        <v>130</v>
      </c>
      <c r="B128" s="296" t="s">
        <v>131</v>
      </c>
      <c r="D128" s="43"/>
      <c r="E128" s="199"/>
      <c r="F128" s="43"/>
    </row>
    <row r="129" spans="1:6" x14ac:dyDescent="0.25">
      <c r="B129" s="296" t="s">
        <v>159</v>
      </c>
      <c r="D129" s="54"/>
      <c r="E129" s="199"/>
      <c r="F129" s="43"/>
    </row>
    <row r="130" spans="1:6" x14ac:dyDescent="0.25">
      <c r="B130" s="296"/>
      <c r="C130" s="3" t="s">
        <v>16</v>
      </c>
      <c r="D130" s="55">
        <f>16*9.4</f>
        <v>150.4</v>
      </c>
      <c r="E130" s="199"/>
      <c r="F130" s="43">
        <f t="shared" ref="F130:F139" si="4">+D130*E130</f>
        <v>0</v>
      </c>
    </row>
    <row r="131" spans="1:6" x14ac:dyDescent="0.25">
      <c r="B131" s="296"/>
      <c r="D131" s="52"/>
      <c r="E131" s="199"/>
      <c r="F131" s="43">
        <f t="shared" si="4"/>
        <v>0</v>
      </c>
    </row>
    <row r="132" spans="1:6" ht="38.25" x14ac:dyDescent="0.25">
      <c r="A132" s="2" t="s">
        <v>133</v>
      </c>
      <c r="B132" s="296" t="s">
        <v>189</v>
      </c>
      <c r="D132" s="43"/>
      <c r="E132" s="199"/>
      <c r="F132" s="43">
        <f t="shared" si="4"/>
        <v>0</v>
      </c>
    </row>
    <row r="133" spans="1:6" x14ac:dyDescent="0.25">
      <c r="C133" s="3" t="s">
        <v>134</v>
      </c>
      <c r="D133" s="44">
        <f>0.8+0.8+1.2+1.2</f>
        <v>4</v>
      </c>
      <c r="E133" s="199"/>
      <c r="F133" s="43">
        <f t="shared" si="4"/>
        <v>0</v>
      </c>
    </row>
    <row r="134" spans="1:6" x14ac:dyDescent="0.25">
      <c r="D134" s="44"/>
      <c r="E134" s="199"/>
      <c r="F134" s="43">
        <f t="shared" si="4"/>
        <v>0</v>
      </c>
    </row>
    <row r="135" spans="1:6" ht="38.25" x14ac:dyDescent="0.25">
      <c r="A135" s="2" t="s">
        <v>135</v>
      </c>
      <c r="B135" s="296" t="s">
        <v>178</v>
      </c>
      <c r="D135" s="43"/>
      <c r="E135" s="199"/>
      <c r="F135" s="43">
        <f t="shared" si="4"/>
        <v>0</v>
      </c>
    </row>
    <row r="136" spans="1:6" x14ac:dyDescent="0.25">
      <c r="C136" s="3" t="s">
        <v>79</v>
      </c>
      <c r="D136" s="44">
        <v>1</v>
      </c>
      <c r="E136" s="199"/>
      <c r="F136" s="43">
        <f t="shared" si="4"/>
        <v>0</v>
      </c>
    </row>
    <row r="137" spans="1:6" x14ac:dyDescent="0.25">
      <c r="D137" s="44"/>
      <c r="E137" s="199"/>
      <c r="F137" s="43">
        <f t="shared" si="4"/>
        <v>0</v>
      </c>
    </row>
    <row r="138" spans="1:6" ht="89.25" x14ac:dyDescent="0.25">
      <c r="A138" s="23" t="s">
        <v>234</v>
      </c>
      <c r="B138" s="297" t="s">
        <v>235</v>
      </c>
      <c r="C138" s="24"/>
      <c r="D138" s="40"/>
      <c r="E138" s="196"/>
      <c r="F138" s="43">
        <f t="shared" si="4"/>
        <v>0</v>
      </c>
    </row>
    <row r="139" spans="1:6" x14ac:dyDescent="0.25">
      <c r="A139" s="23"/>
      <c r="C139" s="24" t="s">
        <v>16</v>
      </c>
      <c r="D139" s="46">
        <f>(2*16.8+7.6+2*3)</f>
        <v>47.2</v>
      </c>
      <c r="E139" s="196"/>
      <c r="F139" s="43">
        <f t="shared" si="4"/>
        <v>0</v>
      </c>
    </row>
    <row r="140" spans="1:6" x14ac:dyDescent="0.25">
      <c r="A140" s="32"/>
      <c r="B140" s="296"/>
      <c r="D140" s="37"/>
      <c r="E140" s="199"/>
      <c r="F140" s="43"/>
    </row>
    <row r="141" spans="1:6" ht="38.25" x14ac:dyDescent="0.25">
      <c r="A141" s="2" t="s">
        <v>236</v>
      </c>
      <c r="B141" s="296" t="s">
        <v>136</v>
      </c>
      <c r="D141" s="37"/>
      <c r="E141" s="199"/>
      <c r="F141" s="43"/>
    </row>
    <row r="142" spans="1:6" x14ac:dyDescent="0.25">
      <c r="A142" s="32"/>
      <c r="B142" s="296" t="s">
        <v>41</v>
      </c>
      <c r="D142" s="37"/>
      <c r="E142" s="199"/>
      <c r="F142" s="43"/>
    </row>
    <row r="143" spans="1:6" x14ac:dyDescent="0.25">
      <c r="A143" s="32"/>
      <c r="C143" s="3" t="s">
        <v>138</v>
      </c>
      <c r="D143" s="44"/>
      <c r="E143" s="199"/>
      <c r="F143" s="43">
        <f>(F18+F88+F122+F130+F133+F136)*0.1</f>
        <v>0</v>
      </c>
    </row>
    <row r="144" spans="1:6" x14ac:dyDescent="0.25">
      <c r="A144" s="33"/>
      <c r="C144" s="4"/>
      <c r="D144" s="39"/>
      <c r="E144" s="198"/>
      <c r="F144" s="39"/>
    </row>
    <row r="145" spans="1:6" x14ac:dyDescent="0.25">
      <c r="A145" s="34"/>
      <c r="B145" s="295" t="s">
        <v>137</v>
      </c>
      <c r="C145" s="27"/>
      <c r="D145" s="56"/>
      <c r="E145" s="204"/>
      <c r="F145" s="56">
        <f>+SUM(F127:F144)</f>
        <v>0</v>
      </c>
    </row>
  </sheetData>
  <sheetProtection algorithmName="SHA-512" hashValue="Kn+mS7vPxF0tFZOdpDoNBN3AfVJ6yKeMmClkgOKyIxwKuE2X+RVAqeRr6algQhvcfVHo+W7AIzOwiLkqrlxFxA==" saltValue="0rTy3pOcJLX7V1pMCBjxjQ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&amp;R&amp;"Arial,Navadno"&amp;10&amp;P/&amp;N</oddFooter>
  </headerFooter>
  <rowBreaks count="4" manualBreakCount="4">
    <brk id="26" max="16383" man="1"/>
    <brk id="62" max="16383" man="1"/>
    <brk id="91" max="16383" man="1"/>
    <brk id="12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5"/>
  <sheetViews>
    <sheetView view="pageLayout" zoomScaleNormal="100" workbookViewId="0">
      <selection activeCell="B13" sqref="B13"/>
    </sheetView>
  </sheetViews>
  <sheetFormatPr defaultColWidth="9.140625" defaultRowHeight="15" x14ac:dyDescent="0.25"/>
  <cols>
    <col min="1" max="1" width="4.7109375" style="205" customWidth="1"/>
    <col min="2" max="2" width="49.28515625" style="205" customWidth="1"/>
    <col min="3" max="3" width="7.85546875" style="272" customWidth="1"/>
    <col min="4" max="4" width="5.140625" style="205" customWidth="1"/>
    <col min="5" max="5" width="8.7109375" style="239" customWidth="1"/>
    <col min="6" max="6" width="9.28515625" style="205" customWidth="1"/>
    <col min="7" max="16384" width="9.140625" style="205"/>
  </cols>
  <sheetData>
    <row r="1" spans="1:6" ht="18" x14ac:dyDescent="0.25">
      <c r="A1" s="206"/>
      <c r="B1" s="264" t="s">
        <v>460</v>
      </c>
      <c r="C1" s="266"/>
      <c r="D1" s="207"/>
      <c r="E1" s="232"/>
      <c r="F1" s="208"/>
    </row>
    <row r="2" spans="1:6" ht="18" x14ac:dyDescent="0.25">
      <c r="A2" s="209"/>
      <c r="B2" s="264" t="s">
        <v>462</v>
      </c>
      <c r="C2" s="266"/>
      <c r="D2" s="207"/>
      <c r="E2" s="233"/>
      <c r="F2" s="210"/>
    </row>
    <row r="3" spans="1:6" ht="18" x14ac:dyDescent="0.25">
      <c r="A3" s="209"/>
      <c r="B3" s="264"/>
      <c r="C3" s="266"/>
      <c r="D3" s="207"/>
      <c r="E3" s="233"/>
      <c r="F3" s="210"/>
    </row>
    <row r="4" spans="1:6" x14ac:dyDescent="0.25">
      <c r="A4" s="211"/>
      <c r="B4" s="212"/>
      <c r="C4" s="266"/>
      <c r="D4" s="207"/>
      <c r="E4" s="234"/>
      <c r="F4" s="213"/>
    </row>
    <row r="5" spans="1:6" ht="42" x14ac:dyDescent="0.25">
      <c r="B5" s="261" t="s">
        <v>458</v>
      </c>
      <c r="C5" s="267" t="s">
        <v>457</v>
      </c>
      <c r="D5" s="263" t="s">
        <v>459</v>
      </c>
      <c r="E5" s="262" t="s">
        <v>344</v>
      </c>
      <c r="F5" s="262" t="s">
        <v>345</v>
      </c>
    </row>
    <row r="6" spans="1:6" x14ac:dyDescent="0.25">
      <c r="A6" s="211"/>
      <c r="B6" s="212"/>
      <c r="C6" s="266"/>
      <c r="D6" s="207"/>
      <c r="E6" s="234"/>
      <c r="F6" s="213"/>
    </row>
    <row r="7" spans="1:6" x14ac:dyDescent="0.25">
      <c r="A7" s="214" t="s">
        <v>244</v>
      </c>
      <c r="B7" s="215" t="s">
        <v>245</v>
      </c>
      <c r="C7" s="268"/>
      <c r="D7" s="216"/>
      <c r="E7" s="235"/>
      <c r="F7" s="217"/>
    </row>
    <row r="8" spans="1:6" x14ac:dyDescent="0.25">
      <c r="A8" s="214"/>
      <c r="B8" s="215"/>
      <c r="C8" s="268"/>
      <c r="D8" s="216"/>
      <c r="E8" s="235"/>
      <c r="F8" s="217"/>
    </row>
    <row r="9" spans="1:6" x14ac:dyDescent="0.25">
      <c r="A9" s="214" t="s">
        <v>246</v>
      </c>
      <c r="B9" s="215" t="s">
        <v>247</v>
      </c>
      <c r="C9" s="268"/>
      <c r="D9" s="216"/>
      <c r="E9" s="235"/>
      <c r="F9" s="217"/>
    </row>
    <row r="10" spans="1:6" x14ac:dyDescent="0.25">
      <c r="A10" s="214"/>
      <c r="B10" s="215"/>
      <c r="C10" s="268"/>
      <c r="D10" s="216"/>
      <c r="E10" s="235"/>
      <c r="F10" s="217"/>
    </row>
    <row r="11" spans="1:6" x14ac:dyDescent="0.25">
      <c r="A11" s="214"/>
      <c r="B11" s="215" t="s">
        <v>248</v>
      </c>
      <c r="C11" s="268"/>
      <c r="D11" s="216"/>
      <c r="E11" s="235"/>
      <c r="F11" s="217"/>
    </row>
    <row r="12" spans="1:6" ht="25.5" x14ac:dyDescent="0.25">
      <c r="A12" s="284"/>
      <c r="B12" s="273" t="s">
        <v>249</v>
      </c>
      <c r="C12" s="274">
        <v>1</v>
      </c>
      <c r="D12" s="275" t="s">
        <v>250</v>
      </c>
      <c r="E12" s="276"/>
      <c r="F12" s="277">
        <f>+C12*E12</f>
        <v>0</v>
      </c>
    </row>
    <row r="13" spans="1:6" x14ac:dyDescent="0.25">
      <c r="A13" s="284"/>
      <c r="B13" s="273" t="s">
        <v>251</v>
      </c>
      <c r="C13" s="274">
        <v>1</v>
      </c>
      <c r="D13" s="275" t="s">
        <v>250</v>
      </c>
      <c r="E13" s="276"/>
      <c r="F13" s="277">
        <f t="shared" ref="F13:F28" si="0">+C13*E13</f>
        <v>0</v>
      </c>
    </row>
    <row r="14" spans="1:6" x14ac:dyDescent="0.25">
      <c r="A14" s="284"/>
      <c r="B14" s="278" t="s">
        <v>252</v>
      </c>
      <c r="C14" s="274">
        <v>2</v>
      </c>
      <c r="D14" s="275" t="s">
        <v>250</v>
      </c>
      <c r="E14" s="276"/>
      <c r="F14" s="277">
        <f t="shared" si="0"/>
        <v>0</v>
      </c>
    </row>
    <row r="15" spans="1:6" x14ac:dyDescent="0.25">
      <c r="A15" s="284"/>
      <c r="B15" s="279" t="s">
        <v>253</v>
      </c>
      <c r="C15" s="274">
        <v>1</v>
      </c>
      <c r="D15" s="275" t="s">
        <v>32</v>
      </c>
      <c r="E15" s="276"/>
      <c r="F15" s="277">
        <f t="shared" si="0"/>
        <v>0</v>
      </c>
    </row>
    <row r="16" spans="1:6" x14ac:dyDescent="0.25">
      <c r="A16" s="284"/>
      <c r="B16" s="279" t="s">
        <v>254</v>
      </c>
      <c r="C16" s="274">
        <v>2</v>
      </c>
      <c r="D16" s="275" t="s">
        <v>250</v>
      </c>
      <c r="E16" s="276"/>
      <c r="F16" s="277">
        <f t="shared" si="0"/>
        <v>0</v>
      </c>
    </row>
    <row r="17" spans="1:6" x14ac:dyDescent="0.25">
      <c r="A17" s="284"/>
      <c r="B17" s="273" t="s">
        <v>255</v>
      </c>
      <c r="C17" s="274">
        <v>2</v>
      </c>
      <c r="D17" s="275" t="s">
        <v>250</v>
      </c>
      <c r="E17" s="276"/>
      <c r="F17" s="277">
        <f t="shared" si="0"/>
        <v>0</v>
      </c>
    </row>
    <row r="18" spans="1:6" x14ac:dyDescent="0.25">
      <c r="A18" s="284"/>
      <c r="B18" s="280" t="s">
        <v>256</v>
      </c>
      <c r="C18" s="274">
        <v>1</v>
      </c>
      <c r="D18" s="275" t="s">
        <v>250</v>
      </c>
      <c r="E18" s="276"/>
      <c r="F18" s="277">
        <f t="shared" si="0"/>
        <v>0</v>
      </c>
    </row>
    <row r="19" spans="1:6" x14ac:dyDescent="0.25">
      <c r="A19" s="284"/>
      <c r="B19" s="273" t="s">
        <v>257</v>
      </c>
      <c r="C19" s="274">
        <v>2</v>
      </c>
      <c r="D19" s="275" t="s">
        <v>250</v>
      </c>
      <c r="E19" s="276"/>
      <c r="F19" s="277">
        <f t="shared" si="0"/>
        <v>0</v>
      </c>
    </row>
    <row r="20" spans="1:6" x14ac:dyDescent="0.25">
      <c r="A20" s="284"/>
      <c r="B20" s="273" t="s">
        <v>258</v>
      </c>
      <c r="C20" s="274">
        <v>1</v>
      </c>
      <c r="D20" s="275" t="s">
        <v>250</v>
      </c>
      <c r="E20" s="276"/>
      <c r="F20" s="277">
        <f t="shared" si="0"/>
        <v>0</v>
      </c>
    </row>
    <row r="21" spans="1:6" x14ac:dyDescent="0.25">
      <c r="A21" s="284"/>
      <c r="B21" s="280" t="s">
        <v>259</v>
      </c>
      <c r="C21" s="274">
        <v>1</v>
      </c>
      <c r="D21" s="275" t="s">
        <v>250</v>
      </c>
      <c r="E21" s="276"/>
      <c r="F21" s="277">
        <f t="shared" si="0"/>
        <v>0</v>
      </c>
    </row>
    <row r="22" spans="1:6" x14ac:dyDescent="0.25">
      <c r="A22" s="284"/>
      <c r="B22" s="280" t="s">
        <v>260</v>
      </c>
      <c r="C22" s="274">
        <v>2</v>
      </c>
      <c r="D22" s="275" t="s">
        <v>250</v>
      </c>
      <c r="E22" s="276"/>
      <c r="F22" s="277">
        <f t="shared" si="0"/>
        <v>0</v>
      </c>
    </row>
    <row r="23" spans="1:6" ht="25.5" x14ac:dyDescent="0.25">
      <c r="A23" s="284"/>
      <c r="B23" s="281" t="s">
        <v>261</v>
      </c>
      <c r="C23" s="274">
        <v>1</v>
      </c>
      <c r="D23" s="275" t="s">
        <v>250</v>
      </c>
      <c r="E23" s="276"/>
      <c r="F23" s="277">
        <f t="shared" si="0"/>
        <v>0</v>
      </c>
    </row>
    <row r="24" spans="1:6" x14ac:dyDescent="0.25">
      <c r="A24" s="284"/>
      <c r="B24" s="273" t="s">
        <v>262</v>
      </c>
      <c r="C24" s="274">
        <v>10</v>
      </c>
      <c r="D24" s="275" t="s">
        <v>250</v>
      </c>
      <c r="E24" s="276"/>
      <c r="F24" s="277">
        <f t="shared" si="0"/>
        <v>0</v>
      </c>
    </row>
    <row r="25" spans="1:6" x14ac:dyDescent="0.25">
      <c r="A25" s="284"/>
      <c r="B25" s="273" t="s">
        <v>263</v>
      </c>
      <c r="C25" s="274">
        <v>1</v>
      </c>
      <c r="D25" s="275" t="s">
        <v>250</v>
      </c>
      <c r="E25" s="276"/>
      <c r="F25" s="277">
        <f t="shared" si="0"/>
        <v>0</v>
      </c>
    </row>
    <row r="26" spans="1:6" x14ac:dyDescent="0.25">
      <c r="A26" s="284"/>
      <c r="B26" s="273" t="s">
        <v>264</v>
      </c>
      <c r="C26" s="274">
        <v>1</v>
      </c>
      <c r="D26" s="275" t="s">
        <v>32</v>
      </c>
      <c r="E26" s="276"/>
      <c r="F26" s="277">
        <f t="shared" si="0"/>
        <v>0</v>
      </c>
    </row>
    <row r="27" spans="1:6" x14ac:dyDescent="0.25">
      <c r="A27" s="284"/>
      <c r="B27" s="273" t="s">
        <v>265</v>
      </c>
      <c r="C27" s="274">
        <v>1</v>
      </c>
      <c r="D27" s="275" t="s">
        <v>32</v>
      </c>
      <c r="E27" s="276"/>
      <c r="F27" s="277">
        <f t="shared" si="0"/>
        <v>0</v>
      </c>
    </row>
    <row r="28" spans="1:6" x14ac:dyDescent="0.25">
      <c r="A28" s="284"/>
      <c r="B28" s="273" t="s">
        <v>266</v>
      </c>
      <c r="C28" s="274">
        <v>30</v>
      </c>
      <c r="D28" s="275" t="s">
        <v>250</v>
      </c>
      <c r="E28" s="276"/>
      <c r="F28" s="277">
        <f t="shared" si="0"/>
        <v>0</v>
      </c>
    </row>
    <row r="29" spans="1:6" x14ac:dyDescent="0.25">
      <c r="A29" s="284"/>
      <c r="B29" s="273" t="s">
        <v>267</v>
      </c>
      <c r="C29" s="274">
        <v>1</v>
      </c>
      <c r="D29" s="275" t="s">
        <v>32</v>
      </c>
      <c r="E29" s="276"/>
      <c r="F29" s="277">
        <f>+C29*E29</f>
        <v>0</v>
      </c>
    </row>
    <row r="30" spans="1:6" x14ac:dyDescent="0.25">
      <c r="A30" s="284"/>
      <c r="B30" s="273" t="s">
        <v>268</v>
      </c>
      <c r="C30" s="274">
        <v>1</v>
      </c>
      <c r="D30" s="275" t="s">
        <v>32</v>
      </c>
      <c r="E30" s="276"/>
      <c r="F30" s="277">
        <f>+C30*E30</f>
        <v>0</v>
      </c>
    </row>
    <row r="31" spans="1:6" x14ac:dyDescent="0.25">
      <c r="A31" s="214"/>
      <c r="B31" s="215"/>
      <c r="C31" s="268"/>
      <c r="D31" s="216"/>
      <c r="E31" s="235"/>
      <c r="F31" s="217"/>
    </row>
    <row r="32" spans="1:6" x14ac:dyDescent="0.25">
      <c r="A32" s="221"/>
      <c r="B32" s="222" t="s">
        <v>269</v>
      </c>
      <c r="C32" s="268"/>
      <c r="D32" s="216"/>
      <c r="E32" s="235"/>
      <c r="F32" s="223">
        <f>SUM(F12:F31)</f>
        <v>0</v>
      </c>
    </row>
    <row r="33" spans="1:6" x14ac:dyDescent="0.25">
      <c r="A33" s="214"/>
      <c r="B33" s="215"/>
      <c r="C33" s="268"/>
      <c r="D33" s="216"/>
      <c r="E33" s="235"/>
      <c r="F33" s="217"/>
    </row>
    <row r="34" spans="1:6" x14ac:dyDescent="0.25">
      <c r="A34" s="214" t="s">
        <v>270</v>
      </c>
      <c r="B34" s="222" t="s">
        <v>271</v>
      </c>
      <c r="C34" s="268"/>
      <c r="D34" s="216"/>
      <c r="E34" s="235"/>
      <c r="F34" s="217"/>
    </row>
    <row r="35" spans="1:6" x14ac:dyDescent="0.25">
      <c r="A35" s="214"/>
      <c r="B35" s="215"/>
      <c r="C35" s="268"/>
      <c r="D35" s="216"/>
      <c r="E35" s="235"/>
      <c r="F35" s="217"/>
    </row>
    <row r="36" spans="1:6" ht="15.75" customHeight="1" x14ac:dyDescent="0.25">
      <c r="A36" s="284"/>
      <c r="B36" s="273" t="s">
        <v>272</v>
      </c>
      <c r="C36" s="274">
        <v>1</v>
      </c>
      <c r="D36" s="275" t="s">
        <v>250</v>
      </c>
      <c r="E36" s="276"/>
      <c r="F36" s="277">
        <f t="shared" ref="F36:F41" si="1">+C36*E36</f>
        <v>0</v>
      </c>
    </row>
    <row r="37" spans="1:6" x14ac:dyDescent="0.25">
      <c r="A37" s="284"/>
      <c r="B37" s="273" t="s">
        <v>273</v>
      </c>
      <c r="C37" s="274">
        <v>1</v>
      </c>
      <c r="D37" s="275" t="s">
        <v>250</v>
      </c>
      <c r="E37" s="276"/>
      <c r="F37" s="277">
        <f t="shared" si="1"/>
        <v>0</v>
      </c>
    </row>
    <row r="38" spans="1:6" x14ac:dyDescent="0.25">
      <c r="A38" s="284"/>
      <c r="B38" s="273" t="s">
        <v>274</v>
      </c>
      <c r="C38" s="274">
        <v>9</v>
      </c>
      <c r="D38" s="275" t="s">
        <v>250</v>
      </c>
      <c r="E38" s="276"/>
      <c r="F38" s="277">
        <f t="shared" si="1"/>
        <v>0</v>
      </c>
    </row>
    <row r="39" spans="1:6" x14ac:dyDescent="0.25">
      <c r="A39" s="284"/>
      <c r="B39" s="273" t="s">
        <v>266</v>
      </c>
      <c r="C39" s="274">
        <v>20</v>
      </c>
      <c r="D39" s="275" t="s">
        <v>250</v>
      </c>
      <c r="E39" s="276"/>
      <c r="F39" s="277">
        <f t="shared" si="1"/>
        <v>0</v>
      </c>
    </row>
    <row r="40" spans="1:6" ht="25.5" x14ac:dyDescent="0.25">
      <c r="A40" s="284"/>
      <c r="B40" s="273" t="s">
        <v>275</v>
      </c>
      <c r="C40" s="274">
        <v>1</v>
      </c>
      <c r="D40" s="275" t="s">
        <v>32</v>
      </c>
      <c r="E40" s="276"/>
      <c r="F40" s="277">
        <f t="shared" si="1"/>
        <v>0</v>
      </c>
    </row>
    <row r="41" spans="1:6" x14ac:dyDescent="0.25">
      <c r="A41" s="284"/>
      <c r="B41" s="273" t="s">
        <v>276</v>
      </c>
      <c r="C41" s="274">
        <v>1</v>
      </c>
      <c r="D41" s="275" t="s">
        <v>32</v>
      </c>
      <c r="E41" s="276"/>
      <c r="F41" s="277">
        <f t="shared" si="1"/>
        <v>0</v>
      </c>
    </row>
    <row r="42" spans="1:6" x14ac:dyDescent="0.25">
      <c r="A42" s="214"/>
      <c r="B42" s="215"/>
      <c r="C42" s="268"/>
      <c r="D42" s="216"/>
      <c r="E42" s="235"/>
      <c r="F42" s="217"/>
    </row>
    <row r="43" spans="1:6" x14ac:dyDescent="0.25">
      <c r="A43" s="214"/>
      <c r="B43" s="222" t="s">
        <v>277</v>
      </c>
      <c r="C43" s="268"/>
      <c r="D43" s="216"/>
      <c r="E43" s="235"/>
      <c r="F43" s="223">
        <f>SUM(F36:F42)</f>
        <v>0</v>
      </c>
    </row>
    <row r="44" spans="1:6" x14ac:dyDescent="0.25">
      <c r="A44" s="214"/>
      <c r="B44" s="222"/>
      <c r="C44" s="268"/>
      <c r="D44" s="216"/>
      <c r="E44" s="235"/>
      <c r="F44" s="223"/>
    </row>
    <row r="45" spans="1:6" x14ac:dyDescent="0.25">
      <c r="A45" s="214"/>
      <c r="B45" s="215"/>
      <c r="C45" s="268"/>
      <c r="D45" s="216"/>
      <c r="E45" s="235"/>
      <c r="F45" s="217"/>
    </row>
    <row r="46" spans="1:6" x14ac:dyDescent="0.25">
      <c r="A46" s="214" t="s">
        <v>278</v>
      </c>
      <c r="B46" s="222" t="s">
        <v>279</v>
      </c>
      <c r="C46" s="268">
        <v>1</v>
      </c>
      <c r="D46" s="216" t="s">
        <v>250</v>
      </c>
      <c r="E46" s="235"/>
      <c r="F46" s="217">
        <f>+C46*E46</f>
        <v>0</v>
      </c>
    </row>
    <row r="47" spans="1:6" x14ac:dyDescent="0.25">
      <c r="A47" s="214"/>
      <c r="B47" s="215"/>
      <c r="C47" s="268"/>
      <c r="D47" s="216"/>
      <c r="E47" s="235"/>
      <c r="F47" s="217"/>
    </row>
    <row r="48" spans="1:6" x14ac:dyDescent="0.25">
      <c r="A48" s="214"/>
      <c r="B48" s="222" t="s">
        <v>280</v>
      </c>
      <c r="C48" s="268"/>
      <c r="D48" s="216"/>
      <c r="E48" s="235"/>
      <c r="F48" s="223">
        <f>+F32+F43+F46</f>
        <v>0</v>
      </c>
    </row>
    <row r="49" spans="1:6" x14ac:dyDescent="0.25">
      <c r="A49" s="214"/>
      <c r="B49" s="215"/>
      <c r="C49" s="268"/>
      <c r="D49" s="216"/>
      <c r="E49" s="235"/>
      <c r="F49" s="217"/>
    </row>
    <row r="50" spans="1:6" x14ac:dyDescent="0.25">
      <c r="A50" s="214" t="s">
        <v>281</v>
      </c>
      <c r="B50" s="222" t="s">
        <v>282</v>
      </c>
      <c r="C50" s="268"/>
      <c r="D50" s="216"/>
      <c r="E50" s="235"/>
      <c r="F50" s="217"/>
    </row>
    <row r="51" spans="1:6" x14ac:dyDescent="0.25">
      <c r="A51" s="214"/>
      <c r="B51" s="215"/>
      <c r="C51" s="268"/>
      <c r="D51" s="216"/>
      <c r="E51" s="235"/>
      <c r="F51" s="217"/>
    </row>
    <row r="52" spans="1:6" x14ac:dyDescent="0.25">
      <c r="A52" s="284"/>
      <c r="B52" s="273" t="s">
        <v>283</v>
      </c>
      <c r="C52" s="274">
        <v>140</v>
      </c>
      <c r="D52" s="275" t="s">
        <v>284</v>
      </c>
      <c r="E52" s="276"/>
      <c r="F52" s="277">
        <f>+C52*E52</f>
        <v>0</v>
      </c>
    </row>
    <row r="53" spans="1:6" x14ac:dyDescent="0.25">
      <c r="A53" s="284"/>
      <c r="B53" s="273" t="s">
        <v>285</v>
      </c>
      <c r="C53" s="274">
        <v>30</v>
      </c>
      <c r="D53" s="275" t="s">
        <v>284</v>
      </c>
      <c r="E53" s="276"/>
      <c r="F53" s="277">
        <f t="shared" ref="F53:F60" si="2">+C53*E53</f>
        <v>0</v>
      </c>
    </row>
    <row r="54" spans="1:6" x14ac:dyDescent="0.25">
      <c r="A54" s="284"/>
      <c r="B54" s="273" t="s">
        <v>286</v>
      </c>
      <c r="C54" s="274">
        <v>25</v>
      </c>
      <c r="D54" s="275" t="s">
        <v>284</v>
      </c>
      <c r="E54" s="276"/>
      <c r="F54" s="277">
        <f t="shared" si="2"/>
        <v>0</v>
      </c>
    </row>
    <row r="55" spans="1:6" x14ac:dyDescent="0.25">
      <c r="A55" s="284"/>
      <c r="B55" s="273" t="s">
        <v>287</v>
      </c>
      <c r="C55" s="274">
        <v>25</v>
      </c>
      <c r="D55" s="275" t="s">
        <v>284</v>
      </c>
      <c r="E55" s="276"/>
      <c r="F55" s="277">
        <f t="shared" si="2"/>
        <v>0</v>
      </c>
    </row>
    <row r="56" spans="1:6" x14ac:dyDescent="0.25">
      <c r="A56" s="284"/>
      <c r="B56" s="273" t="s">
        <v>288</v>
      </c>
      <c r="C56" s="274">
        <v>75</v>
      </c>
      <c r="D56" s="275" t="s">
        <v>284</v>
      </c>
      <c r="E56" s="276"/>
      <c r="F56" s="277">
        <f t="shared" si="2"/>
        <v>0</v>
      </c>
    </row>
    <row r="57" spans="1:6" x14ac:dyDescent="0.25">
      <c r="A57" s="284"/>
      <c r="B57" s="273" t="s">
        <v>289</v>
      </c>
      <c r="C57" s="274">
        <v>50</v>
      </c>
      <c r="D57" s="275" t="s">
        <v>284</v>
      </c>
      <c r="E57" s="276"/>
      <c r="F57" s="277">
        <f t="shared" si="2"/>
        <v>0</v>
      </c>
    </row>
    <row r="58" spans="1:6" x14ac:dyDescent="0.25">
      <c r="A58" s="284"/>
      <c r="B58" s="273" t="s">
        <v>290</v>
      </c>
      <c r="C58" s="274">
        <v>4</v>
      </c>
      <c r="D58" s="275" t="s">
        <v>284</v>
      </c>
      <c r="E58" s="276"/>
      <c r="F58" s="277">
        <f t="shared" si="2"/>
        <v>0</v>
      </c>
    </row>
    <row r="59" spans="1:6" x14ac:dyDescent="0.25">
      <c r="A59" s="284"/>
      <c r="B59" s="273" t="s">
        <v>291</v>
      </c>
      <c r="C59" s="274">
        <v>30</v>
      </c>
      <c r="D59" s="275" t="s">
        <v>284</v>
      </c>
      <c r="E59" s="276"/>
      <c r="F59" s="277">
        <f t="shared" si="2"/>
        <v>0</v>
      </c>
    </row>
    <row r="60" spans="1:6" x14ac:dyDescent="0.25">
      <c r="A60" s="284"/>
      <c r="B60" s="273" t="s">
        <v>292</v>
      </c>
      <c r="C60" s="274">
        <v>30</v>
      </c>
      <c r="D60" s="275" t="s">
        <v>284</v>
      </c>
      <c r="E60" s="276"/>
      <c r="F60" s="277">
        <f t="shared" si="2"/>
        <v>0</v>
      </c>
    </row>
    <row r="61" spans="1:6" x14ac:dyDescent="0.25">
      <c r="A61" s="214"/>
      <c r="B61" s="215"/>
      <c r="C61" s="268"/>
      <c r="D61" s="216"/>
      <c r="E61" s="235"/>
      <c r="F61" s="217"/>
    </row>
    <row r="62" spans="1:6" x14ac:dyDescent="0.25">
      <c r="A62" s="214"/>
      <c r="B62" s="222" t="s">
        <v>293</v>
      </c>
      <c r="C62" s="268"/>
      <c r="D62" s="216"/>
      <c r="E62" s="235"/>
      <c r="F62" s="223">
        <f>SUM(F52:F61)</f>
        <v>0</v>
      </c>
    </row>
    <row r="63" spans="1:6" x14ac:dyDescent="0.25">
      <c r="A63" s="214"/>
      <c r="B63" s="215"/>
      <c r="C63" s="268"/>
      <c r="D63" s="216"/>
      <c r="E63" s="235"/>
      <c r="F63" s="217"/>
    </row>
    <row r="64" spans="1:6" x14ac:dyDescent="0.25">
      <c r="A64" s="214" t="s">
        <v>294</v>
      </c>
      <c r="B64" s="224" t="s">
        <v>295</v>
      </c>
      <c r="C64" s="268"/>
      <c r="D64" s="216"/>
      <c r="E64" s="235"/>
      <c r="F64" s="217"/>
    </row>
    <row r="65" spans="1:6" x14ac:dyDescent="0.25">
      <c r="A65" s="214"/>
      <c r="B65" s="215"/>
      <c r="C65" s="268"/>
      <c r="D65" s="216"/>
      <c r="E65" s="235"/>
      <c r="F65" s="217"/>
    </row>
    <row r="66" spans="1:6" ht="25.5" x14ac:dyDescent="0.25">
      <c r="A66" s="284"/>
      <c r="B66" s="273" t="s">
        <v>296</v>
      </c>
      <c r="C66" s="274">
        <v>1</v>
      </c>
      <c r="D66" s="275" t="s">
        <v>32</v>
      </c>
      <c r="E66" s="276"/>
      <c r="F66" s="277">
        <f>+C66*E66</f>
        <v>0</v>
      </c>
    </row>
    <row r="67" spans="1:6" ht="25.5" x14ac:dyDescent="0.25">
      <c r="A67" s="284"/>
      <c r="B67" s="273" t="s">
        <v>297</v>
      </c>
      <c r="C67" s="274">
        <v>24</v>
      </c>
      <c r="D67" s="275" t="s">
        <v>284</v>
      </c>
      <c r="E67" s="276"/>
      <c r="F67" s="277">
        <f t="shared" ref="F67:F77" si="3">+C67*E67</f>
        <v>0</v>
      </c>
    </row>
    <row r="68" spans="1:6" ht="25.5" x14ac:dyDescent="0.25">
      <c r="A68" s="284"/>
      <c r="B68" s="273" t="s">
        <v>298</v>
      </c>
      <c r="C68" s="274">
        <v>6</v>
      </c>
      <c r="D68" s="275" t="s">
        <v>284</v>
      </c>
      <c r="E68" s="276"/>
      <c r="F68" s="277">
        <f t="shared" si="3"/>
        <v>0</v>
      </c>
    </row>
    <row r="69" spans="1:6" x14ac:dyDescent="0.25">
      <c r="A69" s="284"/>
      <c r="B69" s="273" t="s">
        <v>299</v>
      </c>
      <c r="C69" s="274">
        <v>8</v>
      </c>
      <c r="D69" s="275" t="s">
        <v>284</v>
      </c>
      <c r="E69" s="276"/>
      <c r="F69" s="277">
        <f t="shared" si="3"/>
        <v>0</v>
      </c>
    </row>
    <row r="70" spans="1:6" x14ac:dyDescent="0.25">
      <c r="A70" s="284"/>
      <c r="B70" s="273" t="s">
        <v>300</v>
      </c>
      <c r="C70" s="274">
        <v>15</v>
      </c>
      <c r="D70" s="275" t="s">
        <v>284</v>
      </c>
      <c r="E70" s="276"/>
      <c r="F70" s="277">
        <f t="shared" si="3"/>
        <v>0</v>
      </c>
    </row>
    <row r="71" spans="1:6" x14ac:dyDescent="0.25">
      <c r="A71" s="284"/>
      <c r="B71" s="273" t="s">
        <v>301</v>
      </c>
      <c r="C71" s="274">
        <v>5</v>
      </c>
      <c r="D71" s="275" t="s">
        <v>284</v>
      </c>
      <c r="E71" s="282"/>
      <c r="F71" s="277">
        <f t="shared" si="3"/>
        <v>0</v>
      </c>
    </row>
    <row r="72" spans="1:6" x14ac:dyDescent="0.25">
      <c r="A72" s="284"/>
      <c r="B72" s="273" t="s">
        <v>302</v>
      </c>
      <c r="C72" s="274">
        <v>10</v>
      </c>
      <c r="D72" s="275" t="s">
        <v>284</v>
      </c>
      <c r="E72" s="276"/>
      <c r="F72" s="277">
        <f t="shared" si="3"/>
        <v>0</v>
      </c>
    </row>
    <row r="73" spans="1:6" x14ac:dyDescent="0.25">
      <c r="A73" s="284"/>
      <c r="B73" s="278" t="s">
        <v>303</v>
      </c>
      <c r="C73" s="274">
        <v>2</v>
      </c>
      <c r="D73" s="275" t="s">
        <v>250</v>
      </c>
      <c r="E73" s="276"/>
      <c r="F73" s="277">
        <f t="shared" si="3"/>
        <v>0</v>
      </c>
    </row>
    <row r="74" spans="1:6" x14ac:dyDescent="0.25">
      <c r="A74" s="284"/>
      <c r="B74" s="273" t="s">
        <v>304</v>
      </c>
      <c r="C74" s="274">
        <v>2</v>
      </c>
      <c r="D74" s="275" t="s">
        <v>250</v>
      </c>
      <c r="E74" s="276"/>
      <c r="F74" s="277">
        <f t="shared" si="3"/>
        <v>0</v>
      </c>
    </row>
    <row r="75" spans="1:6" ht="25.5" x14ac:dyDescent="0.25">
      <c r="A75" s="284"/>
      <c r="B75" s="273" t="s">
        <v>305</v>
      </c>
      <c r="C75" s="274">
        <v>1</v>
      </c>
      <c r="D75" s="275" t="s">
        <v>32</v>
      </c>
      <c r="E75" s="276"/>
      <c r="F75" s="277">
        <f t="shared" si="3"/>
        <v>0</v>
      </c>
    </row>
    <row r="76" spans="1:6" x14ac:dyDescent="0.25">
      <c r="A76" s="284"/>
      <c r="B76" s="273" t="s">
        <v>306</v>
      </c>
      <c r="C76" s="274">
        <v>1</v>
      </c>
      <c r="D76" s="275" t="s">
        <v>32</v>
      </c>
      <c r="E76" s="276"/>
      <c r="F76" s="277">
        <f t="shared" si="3"/>
        <v>0</v>
      </c>
    </row>
    <row r="77" spans="1:6" x14ac:dyDescent="0.25">
      <c r="A77" s="284"/>
      <c r="B77" s="273" t="s">
        <v>307</v>
      </c>
      <c r="C77" s="274">
        <v>10</v>
      </c>
      <c r="D77" s="275" t="s">
        <v>250</v>
      </c>
      <c r="E77" s="276"/>
      <c r="F77" s="277">
        <f t="shared" si="3"/>
        <v>0</v>
      </c>
    </row>
    <row r="78" spans="1:6" ht="140.25" x14ac:dyDescent="0.25">
      <c r="A78" s="284"/>
      <c r="B78" s="283" t="s">
        <v>308</v>
      </c>
      <c r="C78" s="274">
        <v>1</v>
      </c>
      <c r="D78" s="275" t="s">
        <v>32</v>
      </c>
      <c r="E78" s="276"/>
      <c r="F78" s="277">
        <f>+C78*E78</f>
        <v>0</v>
      </c>
    </row>
    <row r="79" spans="1:6" ht="76.5" x14ac:dyDescent="0.25">
      <c r="A79" s="284"/>
      <c r="B79" s="273" t="s">
        <v>309</v>
      </c>
      <c r="C79" s="274">
        <v>1</v>
      </c>
      <c r="D79" s="275" t="s">
        <v>32</v>
      </c>
      <c r="E79" s="276"/>
      <c r="F79" s="277">
        <f>+C79*E79</f>
        <v>0</v>
      </c>
    </row>
    <row r="80" spans="1:6" x14ac:dyDescent="0.25">
      <c r="A80" s="214"/>
      <c r="B80" s="215"/>
      <c r="C80" s="268"/>
      <c r="D80" s="216"/>
      <c r="E80" s="235"/>
      <c r="F80" s="217"/>
    </row>
    <row r="81" spans="1:6" x14ac:dyDescent="0.25">
      <c r="A81" s="214"/>
      <c r="B81" s="222" t="s">
        <v>310</v>
      </c>
      <c r="C81" s="268"/>
      <c r="D81" s="216"/>
      <c r="E81" s="235"/>
      <c r="F81" s="223">
        <f>SUM(F66:F80)</f>
        <v>0</v>
      </c>
    </row>
    <row r="82" spans="1:6" x14ac:dyDescent="0.25">
      <c r="A82" s="214"/>
      <c r="B82" s="215"/>
      <c r="C82" s="268"/>
      <c r="D82" s="216"/>
      <c r="E82" s="235"/>
      <c r="F82" s="217"/>
    </row>
    <row r="83" spans="1:6" x14ac:dyDescent="0.25">
      <c r="A83" s="214" t="s">
        <v>311</v>
      </c>
      <c r="B83" s="222" t="s">
        <v>312</v>
      </c>
      <c r="C83" s="268"/>
      <c r="D83" s="216"/>
      <c r="E83" s="235"/>
      <c r="F83" s="217"/>
    </row>
    <row r="84" spans="1:6" x14ac:dyDescent="0.25">
      <c r="A84" s="214"/>
      <c r="B84" s="215"/>
      <c r="C84" s="268"/>
      <c r="D84" s="216"/>
      <c r="E84" s="235"/>
      <c r="F84" s="217"/>
    </row>
    <row r="85" spans="1:6" x14ac:dyDescent="0.25">
      <c r="A85" s="214"/>
      <c r="B85" s="273" t="s">
        <v>313</v>
      </c>
      <c r="C85" s="274">
        <v>1</v>
      </c>
      <c r="D85" s="275" t="s">
        <v>250</v>
      </c>
      <c r="E85" s="276"/>
      <c r="F85" s="277">
        <f>+C85*E85</f>
        <v>0</v>
      </c>
    </row>
    <row r="86" spans="1:6" ht="25.5" x14ac:dyDescent="0.25">
      <c r="A86" s="214"/>
      <c r="B86" s="273" t="s">
        <v>314</v>
      </c>
      <c r="C86" s="274">
        <v>1</v>
      </c>
      <c r="D86" s="275" t="s">
        <v>250</v>
      </c>
      <c r="E86" s="276"/>
      <c r="F86" s="277">
        <f>+C86*E86</f>
        <v>0</v>
      </c>
    </row>
    <row r="87" spans="1:6" x14ac:dyDescent="0.25">
      <c r="A87" s="214"/>
      <c r="B87" s="215"/>
      <c r="C87" s="268"/>
      <c r="D87" s="216"/>
      <c r="E87" s="235"/>
      <c r="F87" s="217"/>
    </row>
    <row r="88" spans="1:6" x14ac:dyDescent="0.25">
      <c r="A88" s="214"/>
      <c r="B88" s="222" t="s">
        <v>315</v>
      </c>
      <c r="C88" s="268"/>
      <c r="D88" s="216"/>
      <c r="E88" s="235"/>
      <c r="F88" s="223">
        <f>SUM(F85:F87)</f>
        <v>0</v>
      </c>
    </row>
    <row r="89" spans="1:6" x14ac:dyDescent="0.25">
      <c r="A89" s="214"/>
      <c r="B89" s="215"/>
      <c r="C89" s="268"/>
      <c r="D89" s="216"/>
      <c r="E89" s="235"/>
      <c r="F89" s="217"/>
    </row>
    <row r="90" spans="1:6" x14ac:dyDescent="0.25">
      <c r="A90" s="225" t="s">
        <v>316</v>
      </c>
      <c r="B90" s="222" t="s">
        <v>317</v>
      </c>
      <c r="C90" s="268"/>
      <c r="D90" s="216"/>
      <c r="E90" s="235"/>
      <c r="F90" s="217"/>
    </row>
    <row r="91" spans="1:6" x14ac:dyDescent="0.25">
      <c r="A91" s="214"/>
      <c r="B91" s="215"/>
      <c r="C91" s="268"/>
      <c r="D91" s="216"/>
      <c r="E91" s="235"/>
      <c r="F91" s="217"/>
    </row>
    <row r="92" spans="1:6" x14ac:dyDescent="0.25">
      <c r="A92" s="214"/>
      <c r="B92" s="278" t="s">
        <v>318</v>
      </c>
      <c r="C92" s="274">
        <v>125</v>
      </c>
      <c r="D92" s="275" t="s">
        <v>284</v>
      </c>
      <c r="E92" s="276"/>
      <c r="F92" s="277">
        <f t="shared" ref="F92:F98" si="4">+C92*E92</f>
        <v>0</v>
      </c>
    </row>
    <row r="93" spans="1:6" x14ac:dyDescent="0.25">
      <c r="A93" s="214"/>
      <c r="B93" s="278" t="s">
        <v>319</v>
      </c>
      <c r="C93" s="274">
        <v>20</v>
      </c>
      <c r="D93" s="275" t="s">
        <v>284</v>
      </c>
      <c r="E93" s="276"/>
      <c r="F93" s="277">
        <f t="shared" si="4"/>
        <v>0</v>
      </c>
    </row>
    <row r="94" spans="1:6" x14ac:dyDescent="0.25">
      <c r="A94" s="214"/>
      <c r="B94" s="278" t="s">
        <v>320</v>
      </c>
      <c r="C94" s="274">
        <v>25</v>
      </c>
      <c r="D94" s="275" t="s">
        <v>250</v>
      </c>
      <c r="E94" s="276"/>
      <c r="F94" s="277">
        <f t="shared" si="4"/>
        <v>0</v>
      </c>
    </row>
    <row r="95" spans="1:6" x14ac:dyDescent="0.25">
      <c r="A95" s="214"/>
      <c r="B95" s="278" t="s">
        <v>321</v>
      </c>
      <c r="C95" s="274">
        <v>10</v>
      </c>
      <c r="D95" s="275" t="s">
        <v>250</v>
      </c>
      <c r="E95" s="276"/>
      <c r="F95" s="277">
        <f t="shared" si="4"/>
        <v>0</v>
      </c>
    </row>
    <row r="96" spans="1:6" x14ac:dyDescent="0.25">
      <c r="A96" s="214"/>
      <c r="B96" s="278" t="s">
        <v>322</v>
      </c>
      <c r="C96" s="274">
        <v>5</v>
      </c>
      <c r="D96" s="275" t="s">
        <v>250</v>
      </c>
      <c r="E96" s="276"/>
      <c r="F96" s="277">
        <f t="shared" si="4"/>
        <v>0</v>
      </c>
    </row>
    <row r="97" spans="1:6" x14ac:dyDescent="0.25">
      <c r="A97" s="214"/>
      <c r="B97" s="278" t="s">
        <v>323</v>
      </c>
      <c r="C97" s="274">
        <v>10</v>
      </c>
      <c r="D97" s="275" t="s">
        <v>250</v>
      </c>
      <c r="E97" s="276"/>
      <c r="F97" s="277">
        <f t="shared" si="4"/>
        <v>0</v>
      </c>
    </row>
    <row r="98" spans="1:6" x14ac:dyDescent="0.25">
      <c r="A98" s="214"/>
      <c r="B98" s="278" t="s">
        <v>324</v>
      </c>
      <c r="C98" s="274">
        <v>1</v>
      </c>
      <c r="D98" s="275" t="s">
        <v>32</v>
      </c>
      <c r="E98" s="276"/>
      <c r="F98" s="277">
        <f t="shared" si="4"/>
        <v>0</v>
      </c>
    </row>
    <row r="99" spans="1:6" x14ac:dyDescent="0.25">
      <c r="A99" s="214"/>
      <c r="B99" s="215"/>
      <c r="C99" s="268"/>
      <c r="D99" s="216"/>
      <c r="E99" s="235"/>
      <c r="F99" s="217"/>
    </row>
    <row r="100" spans="1:6" x14ac:dyDescent="0.25">
      <c r="A100" s="214"/>
      <c r="B100" s="222" t="s">
        <v>325</v>
      </c>
      <c r="C100" s="268"/>
      <c r="D100" s="216"/>
      <c r="E100" s="235"/>
      <c r="F100" s="223">
        <f>SUM(F92:F99)</f>
        <v>0</v>
      </c>
    </row>
    <row r="101" spans="1:6" x14ac:dyDescent="0.25">
      <c r="A101" s="214"/>
      <c r="B101" s="215"/>
      <c r="C101" s="268"/>
      <c r="D101" s="216"/>
      <c r="E101" s="235"/>
      <c r="F101" s="217"/>
    </row>
    <row r="102" spans="1:6" x14ac:dyDescent="0.25">
      <c r="A102" s="214" t="s">
        <v>326</v>
      </c>
      <c r="B102" s="215" t="s">
        <v>327</v>
      </c>
      <c r="C102" s="268">
        <v>1</v>
      </c>
      <c r="D102" s="216" t="s">
        <v>32</v>
      </c>
      <c r="E102" s="235"/>
      <c r="F102" s="217">
        <f t="shared" ref="F102:F108" si="5">+C102*E102</f>
        <v>0</v>
      </c>
    </row>
    <row r="103" spans="1:6" x14ac:dyDescent="0.25">
      <c r="A103" s="214" t="s">
        <v>328</v>
      </c>
      <c r="B103" s="215" t="s">
        <v>329</v>
      </c>
      <c r="C103" s="268">
        <v>1</v>
      </c>
      <c r="D103" s="216" t="s">
        <v>32</v>
      </c>
      <c r="E103" s="235"/>
      <c r="F103" s="217">
        <f t="shared" si="5"/>
        <v>0</v>
      </c>
    </row>
    <row r="104" spans="1:6" ht="25.5" x14ac:dyDescent="0.25">
      <c r="A104" s="214" t="s">
        <v>330</v>
      </c>
      <c r="B104" s="215" t="s">
        <v>331</v>
      </c>
      <c r="C104" s="268">
        <v>1</v>
      </c>
      <c r="D104" s="216" t="s">
        <v>32</v>
      </c>
      <c r="E104" s="235"/>
      <c r="F104" s="217">
        <f t="shared" si="5"/>
        <v>0</v>
      </c>
    </row>
    <row r="105" spans="1:6" x14ac:dyDescent="0.25">
      <c r="A105" s="214" t="s">
        <v>332</v>
      </c>
      <c r="B105" s="215" t="s">
        <v>333</v>
      </c>
      <c r="C105" s="268">
        <v>1</v>
      </c>
      <c r="D105" s="216" t="s">
        <v>32</v>
      </c>
      <c r="E105" s="235"/>
      <c r="F105" s="217">
        <f>+(F102+F103+F104)*0.05</f>
        <v>0</v>
      </c>
    </row>
    <row r="106" spans="1:6" x14ac:dyDescent="0.25">
      <c r="A106" s="214" t="s">
        <v>334</v>
      </c>
      <c r="B106" s="215" t="s">
        <v>335</v>
      </c>
      <c r="C106" s="268">
        <v>1</v>
      </c>
      <c r="D106" s="216" t="s">
        <v>32</v>
      </c>
      <c r="E106" s="235"/>
      <c r="F106" s="217">
        <f t="shared" si="5"/>
        <v>0</v>
      </c>
    </row>
    <row r="107" spans="1:6" ht="38.25" x14ac:dyDescent="0.25">
      <c r="A107" s="214" t="s">
        <v>336</v>
      </c>
      <c r="B107" s="215" t="s">
        <v>337</v>
      </c>
      <c r="C107" s="268">
        <v>1</v>
      </c>
      <c r="D107" s="216" t="s">
        <v>32</v>
      </c>
      <c r="E107" s="235"/>
      <c r="F107" s="217">
        <f t="shared" si="5"/>
        <v>0</v>
      </c>
    </row>
    <row r="108" spans="1:6" x14ac:dyDescent="0.25">
      <c r="A108" s="214" t="s">
        <v>338</v>
      </c>
      <c r="B108" s="215" t="s">
        <v>339</v>
      </c>
      <c r="C108" s="268">
        <v>1</v>
      </c>
      <c r="D108" s="216" t="s">
        <v>32</v>
      </c>
      <c r="E108" s="235"/>
      <c r="F108" s="217">
        <f t="shared" si="5"/>
        <v>0</v>
      </c>
    </row>
    <row r="109" spans="1:6" x14ac:dyDescent="0.25">
      <c r="A109" s="226"/>
      <c r="B109" s="218"/>
      <c r="C109" s="269"/>
      <c r="D109" s="219"/>
      <c r="E109" s="236" t="str">
        <f t="shared" ref="E109:E114" si="6">IF(AND(ISNUMBER($IV109),ISNUMBER($IV109)),ROUND(($IV109*$IV109/(1-$IV109)+$IV109*#REF!*#REF!)*#REF!*#REF!*$IV109,0)," ")</f>
        <v xml:space="preserve"> </v>
      </c>
      <c r="F109" s="220" t="str">
        <f>IF(AND(ISNUMBER(C109),ISNUMBER(E109)),C109*E109," ")</f>
        <v xml:space="preserve"> </v>
      </c>
    </row>
    <row r="110" spans="1:6" ht="15.75" thickBot="1" x14ac:dyDescent="0.3">
      <c r="A110" s="227"/>
      <c r="B110" s="228" t="s">
        <v>340</v>
      </c>
      <c r="C110" s="270"/>
      <c r="D110" s="229" t="s">
        <v>341</v>
      </c>
      <c r="E110" s="237" t="str">
        <f t="shared" si="6"/>
        <v xml:space="preserve"> </v>
      </c>
      <c r="F110" s="230">
        <f>+F48+F62+F81+F88+F100+F102+F103+F104+F105+F106+F107+F108</f>
        <v>0</v>
      </c>
    </row>
    <row r="111" spans="1:6" x14ac:dyDescent="0.25">
      <c r="A111" s="214"/>
      <c r="B111" s="215"/>
      <c r="C111" s="268"/>
      <c r="D111" s="216"/>
      <c r="E111" s="235" t="str">
        <f t="shared" si="6"/>
        <v xml:space="preserve"> </v>
      </c>
      <c r="F111" s="217" t="str">
        <f>IF(AND(ISNUMBER(C111),ISNUMBER(E111)),C111*E111," ")</f>
        <v xml:space="preserve"> </v>
      </c>
    </row>
    <row r="112" spans="1:6" x14ac:dyDescent="0.25">
      <c r="A112" s="214"/>
      <c r="B112" s="215"/>
      <c r="C112" s="268"/>
      <c r="D112" s="216"/>
      <c r="E112" s="235" t="str">
        <f t="shared" si="6"/>
        <v xml:space="preserve"> </v>
      </c>
      <c r="F112" s="217" t="str">
        <f>IF(AND(ISNUMBER(C112),ISNUMBER(E112)),C112*E112," ")</f>
        <v xml:space="preserve"> </v>
      </c>
    </row>
    <row r="113" spans="1:6" x14ac:dyDescent="0.25">
      <c r="A113" s="214"/>
      <c r="B113" s="215" t="s">
        <v>342</v>
      </c>
      <c r="C113" s="268"/>
      <c r="D113" s="216"/>
      <c r="E113" s="235" t="str">
        <f t="shared" si="6"/>
        <v xml:space="preserve"> </v>
      </c>
      <c r="F113" s="217" t="str">
        <f>IF(AND(ISNUMBER(C113),ISNUMBER(E113)),C113*E113," ")</f>
        <v xml:space="preserve"> </v>
      </c>
    </row>
    <row r="114" spans="1:6" x14ac:dyDescent="0.25">
      <c r="A114" s="214"/>
      <c r="B114" s="215" t="s">
        <v>343</v>
      </c>
      <c r="C114" s="268"/>
      <c r="D114" s="216"/>
      <c r="E114" s="235" t="str">
        <f t="shared" si="6"/>
        <v xml:space="preserve"> </v>
      </c>
      <c r="F114" s="217" t="str">
        <f>IF(AND(ISNUMBER(C114),ISNUMBER(E114)),C114*E114," ")</f>
        <v xml:space="preserve"> </v>
      </c>
    </row>
    <row r="115" spans="1:6" x14ac:dyDescent="0.25">
      <c r="A115" s="231"/>
      <c r="B115" s="231"/>
      <c r="C115" s="271"/>
      <c r="D115" s="231"/>
      <c r="E115" s="238"/>
      <c r="F115" s="231"/>
    </row>
  </sheetData>
  <sheetProtection algorithmName="SHA-512" hashValue="KktgIRO5Z66FDb/FE6e9ide7oatEatCJAVewNJaZEojWbw4CD5otVrtASQbthp4vE88OWRd+OO92pzBwql7C3g==" saltValue="oyI51xCPFGeEoSDE2Kgotg==" spinCount="100000" sheet="1" objects="1" scenario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view="pageLayout" zoomScaleNormal="100" workbookViewId="0">
      <selection activeCell="B15" sqref="B15"/>
    </sheetView>
  </sheetViews>
  <sheetFormatPr defaultColWidth="9.140625" defaultRowHeight="15" x14ac:dyDescent="0.25"/>
  <cols>
    <col min="1" max="1" width="8.42578125" style="205" customWidth="1"/>
    <col min="2" max="2" width="44.7109375" style="205" customWidth="1"/>
    <col min="3" max="3" width="9" style="205" customWidth="1"/>
    <col min="4" max="4" width="10.7109375" style="205" customWidth="1"/>
    <col min="5" max="5" width="12.42578125" style="205" customWidth="1"/>
    <col min="6" max="16384" width="9.140625" style="205"/>
  </cols>
  <sheetData>
    <row r="1" spans="1:5" ht="18" x14ac:dyDescent="0.25">
      <c r="B1" s="264" t="s">
        <v>460</v>
      </c>
    </row>
    <row r="2" spans="1:5" ht="18" x14ac:dyDescent="0.25">
      <c r="B2" s="264" t="s">
        <v>461</v>
      </c>
    </row>
    <row r="4" spans="1:5" ht="33.75" customHeight="1" x14ac:dyDescent="0.25">
      <c r="A4" s="240"/>
      <c r="B4" s="407" t="s">
        <v>452</v>
      </c>
      <c r="C4" s="408"/>
      <c r="D4" s="408"/>
      <c r="E4" s="408"/>
    </row>
    <row r="5" spans="1:5" x14ac:dyDescent="0.25">
      <c r="A5" s="240"/>
      <c r="B5" s="409" t="s">
        <v>449</v>
      </c>
      <c r="C5" s="410"/>
      <c r="D5" s="410"/>
      <c r="E5" s="410"/>
    </row>
    <row r="6" spans="1:5" x14ac:dyDescent="0.25">
      <c r="A6" s="240"/>
      <c r="B6" s="409" t="s">
        <v>450</v>
      </c>
      <c r="C6" s="410"/>
      <c r="D6" s="410"/>
      <c r="E6" s="410"/>
    </row>
    <row r="7" spans="1:5" x14ac:dyDescent="0.25">
      <c r="A7" s="240"/>
      <c r="B7" s="409" t="s">
        <v>451</v>
      </c>
      <c r="C7" s="410"/>
      <c r="D7" s="410"/>
      <c r="E7" s="410"/>
    </row>
    <row r="8" spans="1:5" x14ac:dyDescent="0.25">
      <c r="A8" s="252"/>
      <c r="B8" s="253"/>
      <c r="C8" s="254"/>
      <c r="D8" s="254"/>
      <c r="E8" s="254"/>
    </row>
    <row r="9" spans="1:5" ht="31.5" x14ac:dyDescent="0.25">
      <c r="A9" s="252"/>
      <c r="B9" s="260" t="s">
        <v>458</v>
      </c>
      <c r="C9" s="61" t="s">
        <v>457</v>
      </c>
      <c r="D9" s="61" t="s">
        <v>344</v>
      </c>
      <c r="E9" s="61" t="s">
        <v>345</v>
      </c>
    </row>
    <row r="10" spans="1:5" x14ac:dyDescent="0.25">
      <c r="A10" s="241"/>
      <c r="B10" s="242"/>
      <c r="C10" s="256"/>
      <c r="D10" s="257"/>
      <c r="E10" s="256"/>
    </row>
    <row r="11" spans="1:5" x14ac:dyDescent="0.25">
      <c r="A11" s="241" t="s">
        <v>346</v>
      </c>
      <c r="B11" s="244" t="s">
        <v>347</v>
      </c>
    </row>
    <row r="12" spans="1:5" x14ac:dyDescent="0.25">
      <c r="A12" s="241"/>
      <c r="B12" s="242"/>
      <c r="C12" s="243"/>
      <c r="D12" s="249"/>
      <c r="E12" s="243"/>
    </row>
    <row r="13" spans="1:5" x14ac:dyDescent="0.25">
      <c r="A13" s="241" t="s">
        <v>348</v>
      </c>
      <c r="B13" s="265" t="s">
        <v>349</v>
      </c>
      <c r="C13" s="258">
        <v>1</v>
      </c>
      <c r="D13" s="62"/>
      <c r="E13" s="63">
        <f>C13*D13</f>
        <v>0</v>
      </c>
    </row>
    <row r="14" spans="1:5" x14ac:dyDescent="0.25">
      <c r="A14" s="241" t="s">
        <v>350</v>
      </c>
      <c r="B14" s="265" t="s">
        <v>351</v>
      </c>
      <c r="C14" s="258">
        <v>1</v>
      </c>
      <c r="D14" s="62"/>
      <c r="E14" s="63">
        <f t="shared" ref="E14:E22" si="0">C14*D14</f>
        <v>0</v>
      </c>
    </row>
    <row r="15" spans="1:5" x14ac:dyDescent="0.25">
      <c r="A15" s="241" t="s">
        <v>352</v>
      </c>
      <c r="B15" s="265" t="s">
        <v>353</v>
      </c>
      <c r="C15" s="258">
        <v>1</v>
      </c>
      <c r="D15" s="62"/>
      <c r="E15" s="63">
        <f t="shared" si="0"/>
        <v>0</v>
      </c>
    </row>
    <row r="16" spans="1:5" x14ac:dyDescent="0.25">
      <c r="A16" s="241" t="s">
        <v>354</v>
      </c>
      <c r="B16" s="265" t="s">
        <v>355</v>
      </c>
      <c r="C16" s="258">
        <v>1</v>
      </c>
      <c r="D16" s="62"/>
      <c r="E16" s="63">
        <f t="shared" si="0"/>
        <v>0</v>
      </c>
    </row>
    <row r="17" spans="1:5" x14ac:dyDescent="0.25">
      <c r="A17" s="241" t="s">
        <v>356</v>
      </c>
      <c r="B17" s="265" t="s">
        <v>357</v>
      </c>
      <c r="C17" s="258">
        <v>1</v>
      </c>
      <c r="D17" s="62"/>
      <c r="E17" s="63">
        <f t="shared" si="0"/>
        <v>0</v>
      </c>
    </row>
    <row r="18" spans="1:5" x14ac:dyDescent="0.25">
      <c r="A18" s="241" t="s">
        <v>358</v>
      </c>
      <c r="B18" s="265" t="s">
        <v>359</v>
      </c>
      <c r="C18" s="258">
        <v>1</v>
      </c>
      <c r="D18" s="62"/>
      <c r="E18" s="63">
        <f t="shared" si="0"/>
        <v>0</v>
      </c>
    </row>
    <row r="19" spans="1:5" x14ac:dyDescent="0.25">
      <c r="A19" s="241" t="s">
        <v>360</v>
      </c>
      <c r="B19" s="265" t="s">
        <v>361</v>
      </c>
      <c r="C19" s="258">
        <v>1</v>
      </c>
      <c r="D19" s="62"/>
      <c r="E19" s="63">
        <f t="shared" si="0"/>
        <v>0</v>
      </c>
    </row>
    <row r="20" spans="1:5" x14ac:dyDescent="0.25">
      <c r="A20" s="241" t="s">
        <v>362</v>
      </c>
      <c r="B20" s="265" t="s">
        <v>363</v>
      </c>
      <c r="C20" s="258">
        <v>1</v>
      </c>
      <c r="D20" s="62"/>
      <c r="E20" s="63">
        <f t="shared" si="0"/>
        <v>0</v>
      </c>
    </row>
    <row r="21" spans="1:5" x14ac:dyDescent="0.25">
      <c r="A21" s="241" t="s">
        <v>364</v>
      </c>
      <c r="B21" s="265" t="s">
        <v>365</v>
      </c>
      <c r="C21" s="258">
        <v>1</v>
      </c>
      <c r="D21" s="62"/>
      <c r="E21" s="63">
        <f t="shared" si="0"/>
        <v>0</v>
      </c>
    </row>
    <row r="22" spans="1:5" x14ac:dyDescent="0.25">
      <c r="A22" s="241" t="s">
        <v>366</v>
      </c>
      <c r="B22" s="265" t="s">
        <v>367</v>
      </c>
      <c r="C22" s="258">
        <v>1</v>
      </c>
      <c r="D22" s="62"/>
      <c r="E22" s="63">
        <f t="shared" si="0"/>
        <v>0</v>
      </c>
    </row>
    <row r="23" spans="1:5" x14ac:dyDescent="0.25">
      <c r="A23" s="241" t="s">
        <v>368</v>
      </c>
      <c r="B23" s="265" t="s">
        <v>456</v>
      </c>
      <c r="C23" s="1"/>
      <c r="D23" s="406"/>
      <c r="E23" s="63">
        <f>+(E13+E14+E15+E16+E17+E18+E19+E20+E21+E22)*0.05</f>
        <v>0</v>
      </c>
    </row>
    <row r="24" spans="1:5" x14ac:dyDescent="0.25">
      <c r="A24" s="241"/>
      <c r="B24" s="242"/>
      <c r="C24" s="259"/>
      <c r="D24" s="250"/>
      <c r="E24" s="65">
        <f>SUM(E13:E23)</f>
        <v>0</v>
      </c>
    </row>
    <row r="25" spans="1:5" x14ac:dyDescent="0.25">
      <c r="A25" s="241"/>
      <c r="B25" s="242"/>
      <c r="C25" s="259"/>
      <c r="D25" s="250"/>
      <c r="E25" s="245"/>
    </row>
    <row r="26" spans="1:5" x14ac:dyDescent="0.25">
      <c r="A26" s="240" t="s">
        <v>369</v>
      </c>
      <c r="B26" s="246" t="s">
        <v>370</v>
      </c>
      <c r="C26" s="259"/>
      <c r="D26" s="250"/>
      <c r="E26" s="245"/>
    </row>
    <row r="27" spans="1:5" x14ac:dyDescent="0.25">
      <c r="A27" s="241"/>
      <c r="B27" s="242"/>
      <c r="C27" s="259"/>
      <c r="D27" s="250"/>
      <c r="E27" s="64"/>
    </row>
    <row r="28" spans="1:5" x14ac:dyDescent="0.25">
      <c r="A28" s="241" t="s">
        <v>371</v>
      </c>
      <c r="B28" s="265" t="s">
        <v>372</v>
      </c>
      <c r="C28" s="258">
        <v>1</v>
      </c>
      <c r="D28" s="62"/>
      <c r="E28" s="63">
        <f t="shared" ref="E28:E35" si="1">C28*D28</f>
        <v>0</v>
      </c>
    </row>
    <row r="29" spans="1:5" x14ac:dyDescent="0.25">
      <c r="A29" s="241" t="s">
        <v>373</v>
      </c>
      <c r="B29" s="265" t="s">
        <v>374</v>
      </c>
      <c r="C29" s="258">
        <v>1</v>
      </c>
      <c r="D29" s="62"/>
      <c r="E29" s="63">
        <f t="shared" si="1"/>
        <v>0</v>
      </c>
    </row>
    <row r="30" spans="1:5" x14ac:dyDescent="0.25">
      <c r="A30" s="241" t="s">
        <v>375</v>
      </c>
      <c r="B30" s="265" t="s">
        <v>376</v>
      </c>
      <c r="C30" s="258">
        <v>1</v>
      </c>
      <c r="D30" s="62"/>
      <c r="E30" s="63">
        <f t="shared" si="1"/>
        <v>0</v>
      </c>
    </row>
    <row r="31" spans="1:5" x14ac:dyDescent="0.25">
      <c r="A31" s="241" t="s">
        <v>377</v>
      </c>
      <c r="B31" s="265" t="s">
        <v>378</v>
      </c>
      <c r="C31" s="258">
        <v>1</v>
      </c>
      <c r="D31" s="62"/>
      <c r="E31" s="63">
        <f t="shared" si="1"/>
        <v>0</v>
      </c>
    </row>
    <row r="32" spans="1:5" x14ac:dyDescent="0.25">
      <c r="A32" s="241" t="s">
        <v>379</v>
      </c>
      <c r="B32" s="265" t="s">
        <v>380</v>
      </c>
      <c r="C32" s="258">
        <v>1</v>
      </c>
      <c r="D32" s="62"/>
      <c r="E32" s="63">
        <f t="shared" si="1"/>
        <v>0</v>
      </c>
    </row>
    <row r="33" spans="1:5" x14ac:dyDescent="0.25">
      <c r="A33" s="241" t="s">
        <v>381</v>
      </c>
      <c r="B33" s="265" t="s">
        <v>382</v>
      </c>
      <c r="C33" s="258">
        <v>1</v>
      </c>
      <c r="D33" s="62"/>
      <c r="E33" s="63">
        <f t="shared" si="1"/>
        <v>0</v>
      </c>
    </row>
    <row r="34" spans="1:5" x14ac:dyDescent="0.25">
      <c r="A34" s="241" t="s">
        <v>383</v>
      </c>
      <c r="B34" s="265" t="s">
        <v>363</v>
      </c>
      <c r="C34" s="258">
        <v>1</v>
      </c>
      <c r="D34" s="62"/>
      <c r="E34" s="63">
        <f t="shared" si="1"/>
        <v>0</v>
      </c>
    </row>
    <row r="35" spans="1:5" x14ac:dyDescent="0.25">
      <c r="A35" s="241" t="s">
        <v>384</v>
      </c>
      <c r="B35" s="265" t="s">
        <v>365</v>
      </c>
      <c r="C35" s="258">
        <v>1</v>
      </c>
      <c r="D35" s="62"/>
      <c r="E35" s="63">
        <f t="shared" si="1"/>
        <v>0</v>
      </c>
    </row>
    <row r="36" spans="1:5" x14ac:dyDescent="0.25">
      <c r="A36" s="241" t="s">
        <v>385</v>
      </c>
      <c r="B36" s="265" t="s">
        <v>455</v>
      </c>
      <c r="C36" s="1"/>
      <c r="D36" s="406"/>
      <c r="E36" s="63">
        <f>+(E28+E29+E30+E31+E32+E33+E34+E35)*0.05</f>
        <v>0</v>
      </c>
    </row>
    <row r="37" spans="1:5" x14ac:dyDescent="0.25">
      <c r="A37" s="241"/>
      <c r="B37" s="242"/>
      <c r="C37" s="259"/>
      <c r="D37" s="250"/>
      <c r="E37" s="65">
        <f>SUM(E28:E36)</f>
        <v>0</v>
      </c>
    </row>
    <row r="38" spans="1:5" x14ac:dyDescent="0.25">
      <c r="A38" s="241"/>
      <c r="B38" s="242"/>
      <c r="C38" s="259"/>
      <c r="D38" s="251"/>
      <c r="E38" s="64"/>
    </row>
    <row r="39" spans="1:5" x14ac:dyDescent="0.25">
      <c r="A39" s="241" t="s">
        <v>386</v>
      </c>
      <c r="B39" s="247" t="s">
        <v>387</v>
      </c>
      <c r="C39" s="259"/>
      <c r="D39" s="251"/>
      <c r="E39" s="64"/>
    </row>
    <row r="40" spans="1:5" x14ac:dyDescent="0.25">
      <c r="A40" s="241"/>
      <c r="B40" s="242"/>
      <c r="C40" s="259"/>
      <c r="D40" s="251"/>
      <c r="E40" s="64"/>
    </row>
    <row r="41" spans="1:5" x14ac:dyDescent="0.25">
      <c r="A41" s="241" t="s">
        <v>388</v>
      </c>
      <c r="B41" s="265" t="s">
        <v>389</v>
      </c>
      <c r="C41" s="258">
        <v>1</v>
      </c>
      <c r="D41" s="62"/>
      <c r="E41" s="63">
        <f t="shared" ref="E41:E51" si="2">C41*D41</f>
        <v>0</v>
      </c>
    </row>
    <row r="42" spans="1:5" x14ac:dyDescent="0.25">
      <c r="A42" s="241" t="s">
        <v>390</v>
      </c>
      <c r="B42" s="265" t="s">
        <v>391</v>
      </c>
      <c r="C42" s="258">
        <v>4</v>
      </c>
      <c r="D42" s="62"/>
      <c r="E42" s="63">
        <f t="shared" si="2"/>
        <v>0</v>
      </c>
    </row>
    <row r="43" spans="1:5" x14ac:dyDescent="0.25">
      <c r="A43" s="241" t="s">
        <v>392</v>
      </c>
      <c r="B43" s="265" t="s">
        <v>393</v>
      </c>
      <c r="C43" s="258">
        <v>2</v>
      </c>
      <c r="D43" s="62"/>
      <c r="E43" s="63">
        <f t="shared" si="2"/>
        <v>0</v>
      </c>
    </row>
    <row r="44" spans="1:5" x14ac:dyDescent="0.25">
      <c r="A44" s="241" t="s">
        <v>394</v>
      </c>
      <c r="B44" s="265" t="s">
        <v>395</v>
      </c>
      <c r="C44" s="258">
        <v>2</v>
      </c>
      <c r="D44" s="62"/>
      <c r="E44" s="63">
        <f t="shared" si="2"/>
        <v>0</v>
      </c>
    </row>
    <row r="45" spans="1:5" x14ac:dyDescent="0.25">
      <c r="A45" s="241" t="s">
        <v>396</v>
      </c>
      <c r="B45" s="265" t="s">
        <v>397</v>
      </c>
      <c r="C45" s="258">
        <v>1</v>
      </c>
      <c r="D45" s="62"/>
      <c r="E45" s="63">
        <f t="shared" si="2"/>
        <v>0</v>
      </c>
    </row>
    <row r="46" spans="1:5" x14ac:dyDescent="0.25">
      <c r="A46" s="241" t="s">
        <v>398</v>
      </c>
      <c r="B46" s="265" t="s">
        <v>399</v>
      </c>
      <c r="C46" s="258">
        <v>1</v>
      </c>
      <c r="D46" s="62"/>
      <c r="E46" s="63">
        <f t="shared" si="2"/>
        <v>0</v>
      </c>
    </row>
    <row r="47" spans="1:5" x14ac:dyDescent="0.25">
      <c r="A47" s="241" t="s">
        <v>400</v>
      </c>
      <c r="B47" s="265" t="s">
        <v>401</v>
      </c>
      <c r="C47" s="258">
        <v>1</v>
      </c>
      <c r="D47" s="62"/>
      <c r="E47" s="63">
        <f t="shared" si="2"/>
        <v>0</v>
      </c>
    </row>
    <row r="48" spans="1:5" x14ac:dyDescent="0.25">
      <c r="A48" s="241" t="s">
        <v>402</v>
      </c>
      <c r="B48" s="265" t="s">
        <v>403</v>
      </c>
      <c r="C48" s="258">
        <v>1</v>
      </c>
      <c r="D48" s="62"/>
      <c r="E48" s="63">
        <f t="shared" si="2"/>
        <v>0</v>
      </c>
    </row>
    <row r="49" spans="1:5" x14ac:dyDescent="0.25">
      <c r="A49" s="241" t="s">
        <v>404</v>
      </c>
      <c r="B49" s="265" t="s">
        <v>363</v>
      </c>
      <c r="C49" s="258">
        <v>1</v>
      </c>
      <c r="D49" s="62"/>
      <c r="E49" s="63">
        <f t="shared" si="2"/>
        <v>0</v>
      </c>
    </row>
    <row r="50" spans="1:5" x14ac:dyDescent="0.25">
      <c r="A50" s="241" t="s">
        <v>405</v>
      </c>
      <c r="B50" s="265" t="s">
        <v>365</v>
      </c>
      <c r="C50" s="258">
        <v>1</v>
      </c>
      <c r="D50" s="62"/>
      <c r="E50" s="63">
        <f t="shared" si="2"/>
        <v>0</v>
      </c>
    </row>
    <row r="51" spans="1:5" x14ac:dyDescent="0.25">
      <c r="A51" s="241" t="s">
        <v>406</v>
      </c>
      <c r="B51" s="265" t="s">
        <v>407</v>
      </c>
      <c r="C51" s="258">
        <v>1</v>
      </c>
      <c r="D51" s="62"/>
      <c r="E51" s="63">
        <f t="shared" si="2"/>
        <v>0</v>
      </c>
    </row>
    <row r="52" spans="1:5" x14ac:dyDescent="0.25">
      <c r="A52" s="241" t="s">
        <v>408</v>
      </c>
      <c r="B52" s="265" t="s">
        <v>453</v>
      </c>
      <c r="C52" s="1"/>
      <c r="D52" s="406"/>
      <c r="E52" s="63">
        <f>+(E41+E42+E43+E44+E45+E46+E47+E48+E49+E50+E51)*0.05</f>
        <v>0</v>
      </c>
    </row>
    <row r="53" spans="1:5" x14ac:dyDescent="0.25">
      <c r="A53" s="241"/>
      <c r="B53" s="242"/>
      <c r="C53" s="259"/>
      <c r="D53" s="250"/>
      <c r="E53" s="65">
        <f>SUM(E41:E52)</f>
        <v>0</v>
      </c>
    </row>
    <row r="54" spans="1:5" x14ac:dyDescent="0.25">
      <c r="A54" s="241"/>
      <c r="B54" s="242"/>
      <c r="C54" s="259"/>
      <c r="D54" s="250"/>
      <c r="E54" s="67"/>
    </row>
    <row r="55" spans="1:5" x14ac:dyDescent="0.25">
      <c r="A55" s="241"/>
      <c r="B55" s="242"/>
      <c r="C55" s="259"/>
      <c r="D55" s="250"/>
      <c r="E55" s="67"/>
    </row>
    <row r="56" spans="1:5" x14ac:dyDescent="0.25">
      <c r="A56" s="241"/>
      <c r="B56" s="242"/>
      <c r="C56" s="259"/>
      <c r="D56" s="251"/>
      <c r="E56" s="64"/>
    </row>
    <row r="57" spans="1:5" x14ac:dyDescent="0.25">
      <c r="A57" s="241" t="s">
        <v>409</v>
      </c>
      <c r="B57" s="247" t="s">
        <v>410</v>
      </c>
      <c r="C57" s="259"/>
      <c r="D57" s="251"/>
      <c r="E57" s="64"/>
    </row>
    <row r="58" spans="1:5" x14ac:dyDescent="0.25">
      <c r="A58" s="241"/>
      <c r="B58" s="242"/>
      <c r="C58" s="259"/>
      <c r="D58" s="251"/>
      <c r="E58" s="64"/>
    </row>
    <row r="59" spans="1:5" x14ac:dyDescent="0.25">
      <c r="A59" s="241" t="s">
        <v>411</v>
      </c>
      <c r="B59" s="265" t="s">
        <v>412</v>
      </c>
      <c r="C59" s="258">
        <v>1</v>
      </c>
      <c r="D59" s="62"/>
      <c r="E59" s="63">
        <f t="shared" ref="E59:E63" si="3">C59*D59</f>
        <v>0</v>
      </c>
    </row>
    <row r="60" spans="1:5" x14ac:dyDescent="0.25">
      <c r="A60" s="241" t="s">
        <v>413</v>
      </c>
      <c r="B60" s="265" t="s">
        <v>414</v>
      </c>
      <c r="C60" s="258">
        <v>1</v>
      </c>
      <c r="D60" s="62"/>
      <c r="E60" s="63">
        <f t="shared" si="3"/>
        <v>0</v>
      </c>
    </row>
    <row r="61" spans="1:5" x14ac:dyDescent="0.25">
      <c r="A61" s="241" t="s">
        <v>415</v>
      </c>
      <c r="B61" s="265" t="s">
        <v>416</v>
      </c>
      <c r="C61" s="258">
        <v>1</v>
      </c>
      <c r="D61" s="62"/>
      <c r="E61" s="63">
        <f t="shared" si="3"/>
        <v>0</v>
      </c>
    </row>
    <row r="62" spans="1:5" x14ac:dyDescent="0.25">
      <c r="A62" s="241" t="s">
        <v>417</v>
      </c>
      <c r="B62" s="265" t="s">
        <v>418</v>
      </c>
      <c r="C62" s="258">
        <v>1</v>
      </c>
      <c r="D62" s="62"/>
      <c r="E62" s="63">
        <f t="shared" si="3"/>
        <v>0</v>
      </c>
    </row>
    <row r="63" spans="1:5" x14ac:dyDescent="0.25">
      <c r="A63" s="241" t="s">
        <v>419</v>
      </c>
      <c r="B63" s="265" t="s">
        <v>407</v>
      </c>
      <c r="C63" s="258">
        <v>1</v>
      </c>
      <c r="D63" s="62"/>
      <c r="E63" s="63">
        <f t="shared" si="3"/>
        <v>0</v>
      </c>
    </row>
    <row r="64" spans="1:5" x14ac:dyDescent="0.25">
      <c r="A64" s="241" t="s">
        <v>420</v>
      </c>
      <c r="B64" s="265" t="s">
        <v>454</v>
      </c>
      <c r="C64" s="1"/>
      <c r="D64" s="406"/>
      <c r="E64" s="63">
        <f>+(E59+E60+E61+E62+E63)*0.05</f>
        <v>0</v>
      </c>
    </row>
    <row r="65" spans="1:5" x14ac:dyDescent="0.25">
      <c r="A65" s="241"/>
      <c r="B65" s="242"/>
      <c r="C65" s="259"/>
      <c r="D65" s="250"/>
      <c r="E65" s="65">
        <f>SUM(E59:E64)</f>
        <v>0</v>
      </c>
    </row>
    <row r="66" spans="1:5" x14ac:dyDescent="0.25">
      <c r="A66" s="241"/>
      <c r="B66" s="242"/>
      <c r="C66" s="259"/>
      <c r="D66" s="251"/>
      <c r="E66" s="64"/>
    </row>
    <row r="67" spans="1:5" x14ac:dyDescent="0.25">
      <c r="A67" s="241" t="s">
        <v>421</v>
      </c>
      <c r="B67" s="247" t="s">
        <v>422</v>
      </c>
      <c r="C67" s="259"/>
      <c r="D67" s="251"/>
      <c r="E67" s="64"/>
    </row>
    <row r="68" spans="1:5" x14ac:dyDescent="0.25">
      <c r="A68" s="241"/>
      <c r="B68" s="242"/>
      <c r="C68" s="259"/>
      <c r="D68" s="251"/>
      <c r="E68" s="64"/>
    </row>
    <row r="69" spans="1:5" x14ac:dyDescent="0.25">
      <c r="A69" s="241" t="s">
        <v>423</v>
      </c>
      <c r="B69" s="265" t="s">
        <v>424</v>
      </c>
      <c r="C69" s="258">
        <v>1</v>
      </c>
      <c r="D69" s="62"/>
      <c r="E69" s="63">
        <f>C69*D69</f>
        <v>0</v>
      </c>
    </row>
    <row r="70" spans="1:5" x14ac:dyDescent="0.25">
      <c r="A70" s="241"/>
      <c r="B70" s="242"/>
      <c r="C70" s="259"/>
      <c r="D70" s="250"/>
      <c r="E70" s="65">
        <f>SUM(E69:E69)</f>
        <v>0</v>
      </c>
    </row>
    <row r="71" spans="1:5" x14ac:dyDescent="0.25">
      <c r="A71" s="241"/>
      <c r="B71" s="242"/>
      <c r="C71" s="259"/>
      <c r="D71" s="251"/>
      <c r="E71" s="64"/>
    </row>
    <row r="72" spans="1:5" x14ac:dyDescent="0.25">
      <c r="A72" s="241" t="s">
        <v>425</v>
      </c>
      <c r="B72" s="247" t="s">
        <v>426</v>
      </c>
      <c r="C72" s="259"/>
      <c r="D72" s="251"/>
      <c r="E72" s="64"/>
    </row>
    <row r="73" spans="1:5" x14ac:dyDescent="0.25">
      <c r="A73" s="241"/>
      <c r="B73" s="242"/>
      <c r="C73" s="259"/>
      <c r="D73" s="251"/>
      <c r="E73" s="64"/>
    </row>
    <row r="74" spans="1:5" x14ac:dyDescent="0.25">
      <c r="A74" s="241" t="s">
        <v>427</v>
      </c>
      <c r="B74" s="265" t="s">
        <v>428</v>
      </c>
      <c r="C74" s="258">
        <v>1</v>
      </c>
      <c r="D74" s="62"/>
      <c r="E74" s="63">
        <f t="shared" ref="E74:E76" si="4">C74*D74</f>
        <v>0</v>
      </c>
    </row>
    <row r="75" spans="1:5" x14ac:dyDescent="0.25">
      <c r="A75" s="241" t="s">
        <v>429</v>
      </c>
      <c r="B75" s="265" t="s">
        <v>430</v>
      </c>
      <c r="C75" s="258">
        <v>1</v>
      </c>
      <c r="D75" s="62"/>
      <c r="E75" s="63">
        <f t="shared" si="4"/>
        <v>0</v>
      </c>
    </row>
    <row r="76" spans="1:5" x14ac:dyDescent="0.25">
      <c r="A76" s="241" t="s">
        <v>431</v>
      </c>
      <c r="B76" s="265" t="s">
        <v>432</v>
      </c>
      <c r="C76" s="258">
        <v>1</v>
      </c>
      <c r="D76" s="62"/>
      <c r="E76" s="63">
        <f t="shared" si="4"/>
        <v>0</v>
      </c>
    </row>
    <row r="77" spans="1:5" x14ac:dyDescent="0.25">
      <c r="A77" s="241"/>
      <c r="B77" s="242"/>
      <c r="C77" s="243"/>
      <c r="D77" s="245"/>
      <c r="E77" s="63">
        <f>SUM(E74:E76)</f>
        <v>0</v>
      </c>
    </row>
    <row r="78" spans="1:5" x14ac:dyDescent="0.25">
      <c r="A78" s="242"/>
      <c r="B78" s="242"/>
      <c r="C78" s="243"/>
      <c r="D78" s="245"/>
      <c r="E78" s="64"/>
    </row>
    <row r="79" spans="1:5" x14ac:dyDescent="0.25">
      <c r="A79" s="241"/>
      <c r="B79" s="244" t="s">
        <v>433</v>
      </c>
      <c r="C79" s="243"/>
      <c r="D79" s="245"/>
      <c r="E79" s="248">
        <f>E24+E37+E53+E65+E70+E77</f>
        <v>0</v>
      </c>
    </row>
    <row r="80" spans="1:5" x14ac:dyDescent="0.25">
      <c r="A80" s="242"/>
      <c r="B80" s="242"/>
      <c r="C80" s="243"/>
      <c r="D80" s="255"/>
      <c r="E80" s="66"/>
    </row>
  </sheetData>
  <sheetProtection algorithmName="SHA-512" hashValue="NJES3OHloG3d/2A6s/GhAEzp6Ba+ODe0YIBNw4Y1SQZGpWSdp2W24TMABnoap51betSWW2FxcHhUkGYmwTOR1A==" saltValue="ON/tCeh8VxDJC0POShzE3w==" spinCount="100000" sheet="1" objects="1" scenarios="1"/>
  <mergeCells count="8">
    <mergeCell ref="C36:D36"/>
    <mergeCell ref="C52:D52"/>
    <mergeCell ref="C64:D64"/>
    <mergeCell ref="B4:E4"/>
    <mergeCell ref="B5:E5"/>
    <mergeCell ref="B6:E6"/>
    <mergeCell ref="B7:E7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9</vt:i4>
      </vt:variant>
      <vt:variant>
        <vt:lpstr>Imenovani obsegi</vt:lpstr>
      </vt:variant>
      <vt:variant>
        <vt:i4>3</vt:i4>
      </vt:variant>
    </vt:vector>
  </HeadingPairs>
  <TitlesOfParts>
    <vt:vector size="12" baseType="lpstr">
      <vt:lpstr>skupna rekapitulacija</vt:lpstr>
      <vt:lpstr>rekapitulacija zunanja ureditev</vt:lpstr>
      <vt:lpstr>01-zunanja ureditev</vt:lpstr>
      <vt:lpstr>rekapitulacija maščobnik</vt:lpstr>
      <vt:lpstr>02-maščobnik gradbena dela</vt:lpstr>
      <vt:lpstr>rekapitulacija blok2 GD</vt:lpstr>
      <vt:lpstr>03-blok2 gradbena dela</vt:lpstr>
      <vt:lpstr>elektroinstalacije</vt:lpstr>
      <vt:lpstr>strojna oprema </vt:lpstr>
      <vt:lpstr>'01-zunanja ureditev'!Tiskanje_naslovov</vt:lpstr>
      <vt:lpstr>'02-maščobnik gradbena dela'!Tiskanje_naslovov</vt:lpstr>
      <vt:lpstr>'03-blok2 gradbena dela'!Tiskanje_naslovov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2019-12-24T07:49:34Z</dcterms:modified>
</cp:coreProperties>
</file>